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G\Desktop\собрание 2025\"/>
    </mc:Choice>
  </mc:AlternateContent>
  <xr:revisionPtr revIDLastSave="0" documentId="8_{8AF1E849-3F85-4488-815C-AB2DC7B70E93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2" i="3"/>
  <c r="C20" i="3"/>
  <c r="C16" i="3"/>
  <c r="C15" i="3"/>
  <c r="C14" i="3"/>
  <c r="C13" i="3"/>
  <c r="E14" i="3"/>
  <c r="D14" i="3" l="1"/>
  <c r="C50" i="3"/>
  <c r="D50" i="3" s="1"/>
  <c r="D20" i="3"/>
  <c r="C19" i="3"/>
  <c r="E20" i="3"/>
  <c r="D13" i="3"/>
  <c r="E13" i="3" l="1"/>
  <c r="C80" i="3"/>
  <c r="E80" i="3" s="1"/>
  <c r="C79" i="3"/>
  <c r="D79" i="3" s="1"/>
  <c r="D81" i="3" s="1"/>
  <c r="C73" i="3"/>
  <c r="D73" i="3" s="1"/>
  <c r="C71" i="3"/>
  <c r="E71" i="3" s="1"/>
  <c r="E70" i="3"/>
  <c r="D70" i="3"/>
  <c r="D72" i="3" s="1"/>
  <c r="C72" i="3" s="1"/>
  <c r="C69" i="3"/>
  <c r="E69" i="3" s="1"/>
  <c r="C68" i="3"/>
  <c r="E68" i="3" s="1"/>
  <c r="C67" i="3"/>
  <c r="E67" i="3" s="1"/>
  <c r="C66" i="3"/>
  <c r="E66" i="3" s="1"/>
  <c r="C65" i="3"/>
  <c r="E65" i="3" s="1"/>
  <c r="C62" i="3"/>
  <c r="E62" i="3" s="1"/>
  <c r="E61" i="3"/>
  <c r="C60" i="3"/>
  <c r="E60" i="3" s="1"/>
  <c r="C59" i="3"/>
  <c r="E59" i="3" s="1"/>
  <c r="C58" i="3"/>
  <c r="E58" i="3" s="1"/>
  <c r="C57" i="3"/>
  <c r="E57" i="3" s="1"/>
  <c r="C56" i="3"/>
  <c r="E56" i="3" s="1"/>
  <c r="E55" i="3"/>
  <c r="D55" i="3"/>
  <c r="D63" i="3" s="1"/>
  <c r="C53" i="3"/>
  <c r="E53" i="3" s="1"/>
  <c r="C46" i="3"/>
  <c r="D46" i="3" s="1"/>
  <c r="E47" i="3"/>
  <c r="D47" i="3"/>
  <c r="C45" i="3"/>
  <c r="C44" i="3"/>
  <c r="C43" i="3"/>
  <c r="C42" i="3"/>
  <c r="E40" i="3"/>
  <c r="C39" i="3"/>
  <c r="E38" i="3"/>
  <c r="D38" i="3"/>
  <c r="E37" i="3"/>
  <c r="D37" i="3"/>
  <c r="E34" i="3"/>
  <c r="D34" i="3"/>
  <c r="E33" i="3"/>
  <c r="D33" i="3"/>
  <c r="E32" i="3"/>
  <c r="D32" i="3"/>
  <c r="E31" i="3"/>
  <c r="D31" i="3"/>
  <c r="C30" i="3"/>
  <c r="D30" i="3" s="1"/>
  <c r="E29" i="3"/>
  <c r="D29" i="3"/>
  <c r="C28" i="3"/>
  <c r="E28" i="3" s="1"/>
  <c r="E27" i="3"/>
  <c r="D27" i="3"/>
  <c r="E23" i="3"/>
  <c r="D23" i="3"/>
  <c r="E17" i="3"/>
  <c r="D16" i="3"/>
  <c r="E12" i="3"/>
  <c r="E10" i="3"/>
  <c r="D10" i="3"/>
  <c r="E9" i="3"/>
  <c r="D9" i="3"/>
  <c r="E8" i="3"/>
  <c r="D8" i="3"/>
  <c r="E44" i="3" l="1"/>
  <c r="E39" i="3"/>
  <c r="E42" i="3"/>
  <c r="E45" i="3"/>
  <c r="E43" i="3"/>
  <c r="D41" i="3"/>
  <c r="D15" i="3"/>
  <c r="E15" i="3"/>
  <c r="E22" i="3" s="1"/>
  <c r="E16" i="3"/>
  <c r="E30" i="3"/>
  <c r="E35" i="3" s="1"/>
  <c r="E72" i="3"/>
  <c r="C63" i="3"/>
  <c r="D12" i="3"/>
  <c r="E63" i="3"/>
  <c r="C35" i="3"/>
  <c r="D17" i="3"/>
  <c r="D28" i="3"/>
  <c r="D35" i="3" l="1"/>
  <c r="C41" i="3"/>
  <c r="D22" i="3"/>
  <c r="C22" i="3" l="1"/>
  <c r="E41" i="3"/>
  <c r="D40" i="3"/>
  <c r="D48" i="3" s="1"/>
  <c r="C48" i="3" s="1"/>
  <c r="C75" i="3" s="1"/>
  <c r="E48" i="3" l="1"/>
  <c r="E75" i="3" s="1"/>
  <c r="D75" i="3"/>
  <c r="D76" i="3" s="1"/>
</calcChain>
</file>

<file path=xl/sharedStrings.xml><?xml version="1.0" encoding="utf-8"?>
<sst xmlns="http://schemas.openxmlformats.org/spreadsheetml/2006/main" count="96" uniqueCount="81">
  <si>
    <t>(Утверждается общим собранием)</t>
  </si>
  <si>
    <t>СМЕТА ДОХОДОВ И РАСХОДОВ ТСЖ "Каскад" на 2025 год</t>
  </si>
  <si>
    <t>ДОХОДЫ:</t>
  </si>
  <si>
    <t>по тарифу</t>
  </si>
  <si>
    <t>в месяц</t>
  </si>
  <si>
    <t>в год</t>
  </si>
  <si>
    <t>Сумма в руб. за 1 м2 в мес.</t>
  </si>
  <si>
    <t xml:space="preserve">Поступления от собственников в 2025г. за содержание общего имущества и содержание лифта дома, платные парковочные места </t>
  </si>
  <si>
    <t>Поступления по договорам от организаций всего: в 2025 г.</t>
  </si>
  <si>
    <t>в т.ч. ООО "Ростелекомт"</t>
  </si>
  <si>
    <t xml:space="preserve">         ООО "Макснет"</t>
  </si>
  <si>
    <t xml:space="preserve">ПАО «Вымпелком»
</t>
  </si>
  <si>
    <t>Регион 40</t>
  </si>
  <si>
    <t>Доходы по статье текущий ремонт</t>
  </si>
  <si>
    <t xml:space="preserve">Доходы по статье содержание и ремонт лифтов </t>
  </si>
  <si>
    <t>Дополнительные услуги Домофон (40 руб с кварт. )</t>
  </si>
  <si>
    <t>ИТОГО ПО ВСЕМ ДОХОДАМ:</t>
  </si>
  <si>
    <t xml:space="preserve">Выпадающие доходы - оплата за неплательщиков  по холодной воде, за домофон. </t>
  </si>
  <si>
    <t>СТАТЬИ РАСХОДОВ:</t>
  </si>
  <si>
    <t xml:space="preserve">общая площадь, м2  </t>
  </si>
  <si>
    <t xml:space="preserve">1. Управление: </t>
  </si>
  <si>
    <t>1.1.Ежемесячное вознаграждение (заработная плата) Председателя</t>
  </si>
  <si>
    <t>*</t>
  </si>
  <si>
    <t>1.2.Отчисления налогов с вознаграждения Председателя (30,2%)</t>
  </si>
  <si>
    <t>1.3. Ежемесячное вознаграждение (заработная плата) Бухгалтера</t>
  </si>
  <si>
    <t>1.4.Отчисления налогов с вознаграждения Бухгалтера (30,2%)</t>
  </si>
  <si>
    <t>1.5. Заправка катрижей</t>
  </si>
  <si>
    <t xml:space="preserve">1.6..Приобретение бумаги канц товаров </t>
  </si>
  <si>
    <t>1.7. Мобильная связь председатель, бухгалтер</t>
  </si>
  <si>
    <t>1.8. Договор с паспортиской</t>
  </si>
  <si>
    <t>Всего по управлению:</t>
  </si>
  <si>
    <t>2. Содержание и обслуживание общего имущества дома за исключением Индивидуального теплового пункта</t>
  </si>
  <si>
    <t>2.3. Оплата услуг банка</t>
  </si>
  <si>
    <t>2.4. Оплата ЕИРЦ-1 (2%)</t>
  </si>
  <si>
    <t>2.5. Налоги с дохода  (6%)</t>
  </si>
  <si>
    <t>2.6. Договор с ОАО "Газпромраспределение" (обслуживание наружного газопровода)</t>
  </si>
  <si>
    <t>2.7.На аварийные работы, проверка дымоходов и вентканалов в течении года 2 раза (начало отопительного сезона и весной)</t>
  </si>
  <si>
    <t xml:space="preserve">2.8.Приобретение необходимых материалов для содержания и ремонта дома и придомовой территории в 2025 г. </t>
  </si>
  <si>
    <t>2.8. Механизированная уборка придомовой территории в зимнее время</t>
  </si>
  <si>
    <t>Всего по содержанию и обслуживанию общего имущества дома:</t>
  </si>
  <si>
    <t>3.Работы по обслуживанию индивидуального теплового пункта</t>
  </si>
  <si>
    <t>Всего по содержанию и ремонту лифтов:</t>
  </si>
  <si>
    <t>Всего за счет средство от платных парковочных мест</t>
  </si>
  <si>
    <t>ДОХОДЫ - РАСХОДЫ</t>
  </si>
  <si>
    <t xml:space="preserve">Доходы по статье капитальный ремонт </t>
  </si>
  <si>
    <t>Расходы по статье капитальный ремонт (ремонт части ниши в  подвале 6 подьезда  )</t>
  </si>
  <si>
    <t>ДОХОДЫ - РАСХОДЫ по статье капитальный ремонт</t>
  </si>
  <si>
    <t>3.1..Содержание индивидуального теплового пункта ( 3.24 с кв м) по отдельным договорам с 1 июля 2025.( 6.24 с кв м в городе решение городской думы г.Калуги от 26.06.2024 №117)</t>
  </si>
  <si>
    <t>Доходы по статье содержение и обслуживание ИТП</t>
  </si>
  <si>
    <t>2.9.Аварийная служба</t>
  </si>
  <si>
    <t>Доходы по статье содерж. общего имущ-ва и управление до 01.07 2025</t>
  </si>
  <si>
    <t>Доходы по статье целевой взнос на приобретение техники  до 01.07.2025</t>
  </si>
  <si>
    <t>Доходы по статье содерж. общего имущ-ва и управ. после  01.07. 2025</t>
  </si>
  <si>
    <t>4.Текущий ремонт</t>
  </si>
  <si>
    <t>4.1 выборочный ремонт бардюров  тратуарной  плитки на дворовой территории,выборочный ремонт подьездов -покраска стен,ремонт и оборудование  спортивной площадки на дворовой территории.</t>
  </si>
  <si>
    <t>5. Содержание и ремонт лифтов</t>
  </si>
  <si>
    <t>.5.1. Договор на технич. обслуживание лифтов с ОАО "Калугалифтремстрой".</t>
  </si>
  <si>
    <r>
      <t xml:space="preserve">5.2. Договор на ежегодное  освидетельствование лифтов  </t>
    </r>
    <r>
      <rPr>
        <u/>
        <sz val="10"/>
        <rFont val="Arial Cyr"/>
      </rPr>
      <t xml:space="preserve"> </t>
    </r>
    <r>
      <rPr>
        <sz val="10"/>
        <rFont val="Arial Cyr"/>
      </rPr>
      <t>с ООО "Калугалифт". (6 лифтов)</t>
    </r>
  </si>
  <si>
    <t>5.3.Страхование лифтов</t>
  </si>
  <si>
    <t>5.4. На освидетельствование лифтов 1 раз в 25 лет, а также на плановою  аварийную замену канатов,для проведения среднего ремонта.</t>
  </si>
  <si>
    <t>5.5.Приобретение расходных материалов для лифтов</t>
  </si>
  <si>
    <t>5.6 Выполнение обязательных работ после ежег.освидетельствования лифтов</t>
  </si>
  <si>
    <t>5.7. Дополнительная уборка лифтов 1 раз  в неделю</t>
  </si>
  <si>
    <t>5.8. Резерв в случае аварийной поломки лифтов по вине собственников</t>
  </si>
  <si>
    <t>6.Расходы от средств ,поступающих от платных парковочных мест</t>
  </si>
  <si>
    <t>6.1.Приобретение материалов и покраска разделительных линий на парковочных местах .Приобретение саженцев,семян для газона,приобретение инструментов для  субботников.</t>
  </si>
  <si>
    <t>6.2.Содержание и обслуживание за год двух платных стоянок (видеокамера 2,шлагбаум,  в осеннье-зимнее время работа дворника на 2- х парковках в течении 5 месяцев), ремонт или замена блокираторов.</t>
  </si>
  <si>
    <t>6.3.Уборка подвалов после устранения засоров в канализационных трубах.</t>
  </si>
  <si>
    <t>6.4.Новогодние мероприятия,приобретение и установка световых гирляд, кустюма,подарки для участников концерта.</t>
  </si>
  <si>
    <t>6.5.Уборка и вывоз снега с  домовой территории</t>
  </si>
  <si>
    <t>6.6.Придоставление ежемесячных данных дист. снятия показаний с гор и хол воды.</t>
  </si>
  <si>
    <t xml:space="preserve"> 6.7. Работы разнорабочего  по отдельным договорам ,  промывке окон в местах общего пользования 1 раз в год.</t>
  </si>
  <si>
    <t xml:space="preserve">8. Судебные расходы по взысканию задолженности за ЖКХ с собствеников жилых и нежилых помещений, с использованием  средств, поступившие от провайдеров </t>
  </si>
  <si>
    <t>Всего по статьям (п.1, 2, 3, 4,5,6,7,8)                                                             РАСХОДЫ</t>
  </si>
  <si>
    <t>9.Капитальный ремонт (мин. размер устанавл.Прав Калуж обл.)</t>
  </si>
  <si>
    <t>Доходы по статье от платных  парковочных мест (верхняя)</t>
  </si>
  <si>
    <t>Доходы по статье от платных  парковочных мест ( нижняя)</t>
  </si>
  <si>
    <t>2.1. Договор с ИП "Гришенков С.Н"(обслуживание общего имущ.  всего дома , уборка придомовой территории,уборка мест общего пользования,электрика,аварийные работы общ им-ва) до 1 июля 2025 г.</t>
  </si>
  <si>
    <t>2.2. Договор с ИП "Гришенков С.Н"(обслуживание общего имущ.  всего дома, оплата дворника,уборщицы,электрика,) с 1 июля 2025 г.</t>
  </si>
  <si>
    <t>2.10 Обслуживание системы домофонных панелей на дверях и калитках, обслуживание автоматики 5 ворот,  обслуживание  4 видеокамер,подключенных к приложению "Ключ".(за исключением платных парков.мест)</t>
  </si>
  <si>
    <t>7.Приобретение спецтехники для уборки двора по цел взносу за 6 мес.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</si>
</sst>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0"/>
      <color theme="1"/>
      <name val="Arial Cyr"/>
    </font>
    <font>
      <b/>
      <sz val="12"/>
      <name val="Arial Cyr"/>
    </font>
    <font>
      <b/>
      <sz val="10"/>
      <name val="Arial Cyr"/>
    </font>
    <font>
      <b/>
      <sz val="9"/>
      <name val="Arial Cyr"/>
    </font>
    <font>
      <i/>
      <sz val="10"/>
      <name val="Arial Cyr"/>
    </font>
    <font>
      <b/>
      <u/>
      <sz val="10"/>
      <name val="Arial Cyr"/>
    </font>
    <font>
      <i/>
      <u/>
      <sz val="10"/>
      <name val="Arial Cyr"/>
    </font>
    <font>
      <b/>
      <i/>
      <sz val="10"/>
      <color indexed="2"/>
      <name val="Arial Cyr"/>
    </font>
    <font>
      <sz val="10"/>
      <color indexed="2"/>
      <name val="Arial Cyr"/>
    </font>
    <font>
      <b/>
      <i/>
      <sz val="10"/>
      <name val="Arial Cyr"/>
    </font>
    <font>
      <b/>
      <sz val="10"/>
      <color theme="1"/>
      <name val="Arial Cyr"/>
    </font>
    <font>
      <sz val="10"/>
      <name val="Arial Cyr"/>
    </font>
    <font>
      <u/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2" fillId="0" borderId="4" xfId="0" applyFont="1" applyBorder="1" applyAlignment="1">
      <alignment horizontal="center" wrapText="1"/>
    </xf>
    <xf numFmtId="4" fontId="2" fillId="0" borderId="5" xfId="0" applyNumberFormat="1" applyFont="1" applyBorder="1"/>
    <xf numFmtId="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/>
    <xf numFmtId="4" fontId="0" fillId="0" borderId="6" xfId="0" applyNumberFormat="1" applyBorder="1"/>
    <xf numFmtId="4" fontId="0" fillId="0" borderId="0" xfId="0" applyNumberFormat="1" applyAlignment="1">
      <alignment horizontal="center"/>
    </xf>
    <xf numFmtId="0" fontId="0" fillId="0" borderId="4" xfId="0" applyBorder="1"/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4" xfId="0" applyBorder="1" applyAlignment="1">
      <alignment wrapText="1"/>
    </xf>
    <xf numFmtId="4" fontId="4" fillId="0" borderId="5" xfId="0" applyNumberFormat="1" applyFont="1" applyBorder="1" applyAlignment="1">
      <alignment horizontal="center"/>
    </xf>
    <xf numFmtId="0" fontId="0" fillId="0" borderId="4" xfId="0" applyBorder="1"/>
    <xf numFmtId="4" fontId="5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4" fontId="0" fillId="0" borderId="5" xfId="0" applyNumberFormat="1" applyBorder="1"/>
    <xf numFmtId="0" fontId="2" fillId="0" borderId="4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4" fontId="2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wrapText="1"/>
    </xf>
    <xf numFmtId="0" fontId="4" fillId="0" borderId="0" xfId="0" applyFont="1"/>
    <xf numFmtId="0" fontId="4" fillId="0" borderId="4" xfId="0" applyFont="1" applyBorder="1" applyAlignment="1">
      <alignment wrapText="1"/>
    </xf>
    <xf numFmtId="4" fontId="4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" fontId="0" fillId="0" borderId="5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5" xfId="0" applyFont="1" applyBorder="1" applyAlignment="1">
      <alignment wrapText="1"/>
    </xf>
    <xf numFmtId="4" fontId="9" fillId="0" borderId="5" xfId="0" applyNumberFormat="1" applyFont="1" applyBorder="1"/>
    <xf numFmtId="0" fontId="9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2" fillId="0" borderId="5" xfId="0" applyFont="1" applyBorder="1"/>
    <xf numFmtId="49" fontId="0" fillId="0" borderId="5" xfId="0" applyNumberForma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/>
    <xf numFmtId="164" fontId="0" fillId="0" borderId="5" xfId="0" applyNumberFormat="1" applyBorder="1" applyAlignment="1">
      <alignment wrapText="1"/>
    </xf>
    <xf numFmtId="4" fontId="1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2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1" fillId="0" borderId="5" xfId="0" applyFont="1" applyBorder="1"/>
    <xf numFmtId="4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wrapText="1"/>
    </xf>
    <xf numFmtId="4" fontId="4" fillId="0" borderId="5" xfId="0" applyNumberFormat="1" applyFont="1" applyBorder="1"/>
    <xf numFmtId="4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71"/>
  <sheetViews>
    <sheetView zoomScale="95" workbookViewId="0">
      <selection activeCell="G19" sqref="G19"/>
    </sheetView>
  </sheetViews>
  <sheetFormatPr defaultRowHeight="12.75" x14ac:dyDescent="0.2"/>
  <cols>
    <col min="1" max="1" width="66.85546875"/>
    <col min="2" max="4" width="16.5703125"/>
    <col min="5" max="5" width="11"/>
    <col min="6" max="6" width="9.28515625"/>
    <col min="7" max="7" width="21.28515625"/>
    <col min="8" max="1025" width="8.42578125"/>
  </cols>
  <sheetData>
    <row r="5" ht="36" customHeight="1" x14ac:dyDescent="0.2"/>
    <row r="6" ht="30.75" customHeight="1" x14ac:dyDescent="0.2"/>
    <row r="7" ht="20.100000000000001" customHeight="1" x14ac:dyDescent="0.2"/>
    <row r="8" ht="20.100000000000001" customHeight="1" x14ac:dyDescent="0.2"/>
    <row r="9" ht="20.100000000000001" customHeight="1" x14ac:dyDescent="0.2"/>
    <row r="10" ht="20.100000000000001" customHeight="1" x14ac:dyDescent="0.2"/>
    <row r="11" ht="20.100000000000001" customHeight="1" x14ac:dyDescent="0.2"/>
    <row r="12" ht="20.100000000000001" customHeight="1" x14ac:dyDescent="0.2"/>
    <row r="13" ht="20.100000000000001" customHeight="1" x14ac:dyDescent="0.2"/>
    <row r="14" ht="20.100000000000001" customHeight="1" x14ac:dyDescent="0.2"/>
    <row r="15" ht="20.100000000000001" customHeight="1" x14ac:dyDescent="0.2"/>
    <row r="16" ht="20.100000000000001" customHeight="1" x14ac:dyDescent="0.2"/>
    <row r="17" ht="20.100000000000001" customHeight="1" x14ac:dyDescent="0.2"/>
    <row r="18" ht="38.25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7" customHeight="1" x14ac:dyDescent="0.2"/>
    <row r="40" ht="20.100000000000001" customHeight="1" x14ac:dyDescent="0.2"/>
    <row r="41" ht="27" customHeight="1" x14ac:dyDescent="0.2"/>
    <row r="42" ht="20.100000000000001" customHeight="1" x14ac:dyDescent="0.2"/>
    <row r="43" ht="20.100000000000001" customHeight="1" x14ac:dyDescent="0.2"/>
    <row r="44" ht="27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7" customHeight="1" x14ac:dyDescent="0.2"/>
    <row r="53" ht="20.100000000000001" customHeight="1" x14ac:dyDescent="0.2"/>
    <row r="54" ht="27" customHeight="1" x14ac:dyDescent="0.2"/>
    <row r="55" ht="20.100000000000001" customHeight="1" x14ac:dyDescent="0.2"/>
    <row r="56" ht="30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30.75" customHeight="1" x14ac:dyDescent="0.2"/>
    <row r="65" ht="45.75" customHeight="1" x14ac:dyDescent="0.2"/>
    <row r="66" ht="20.100000000000001" customHeight="1" x14ac:dyDescent="0.2"/>
    <row r="67" ht="20.100000000000001" customHeight="1" x14ac:dyDescent="0.2"/>
    <row r="68" ht="26.1" customHeight="1" x14ac:dyDescent="0.2"/>
    <row r="69" ht="26.1" customHeight="1" x14ac:dyDescent="0.2"/>
    <row r="70" ht="26.1" customHeight="1" x14ac:dyDescent="0.2"/>
    <row r="71" ht="61.5" customHeight="1" x14ac:dyDescent="0.2"/>
  </sheetData>
  <pageMargins left="0.64027777777777795" right="0.40000000000000008" top="0.22986111111111102" bottom="0.2902777777777780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A69"/>
  <sheetViews>
    <sheetView zoomScale="95" workbookViewId="0"/>
  </sheetViews>
  <sheetFormatPr defaultRowHeight="12.75" x14ac:dyDescent="0.2"/>
  <cols>
    <col min="1" max="1025" width="8.42578125"/>
  </cols>
  <sheetData>
    <row r="17" ht="39.950000000000003" customHeight="1" x14ac:dyDescent="0.2"/>
    <row r="69" ht="38.1" customHeight="1" x14ac:dyDescent="0.2"/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1"/>
  <sheetViews>
    <sheetView tabSelected="1" topLeftCell="A61" zoomScale="95" workbookViewId="0">
      <selection activeCell="F73" sqref="F73"/>
    </sheetView>
  </sheetViews>
  <sheetFormatPr defaultRowHeight="12.75" x14ac:dyDescent="0.2"/>
  <cols>
    <col min="1" max="1" width="68"/>
    <col min="2" max="2" width="10.42578125" style="1"/>
    <col min="3" max="3" width="15.7109375" style="1"/>
    <col min="4" max="4" width="18.140625" style="1"/>
    <col min="5" max="5" width="16.7109375" style="1"/>
    <col min="6" max="6" width="11.140625"/>
    <col min="7" max="7" width="17.140625"/>
    <col min="8" max="8" width="47.5703125" customWidth="1"/>
    <col min="9" max="11" width="8.42578125"/>
    <col min="12" max="12" width="17.85546875"/>
    <col min="13" max="1025" width="8.42578125"/>
  </cols>
  <sheetData>
    <row r="1" spans="1:9" x14ac:dyDescent="0.2">
      <c r="A1" s="69" t="s">
        <v>0</v>
      </c>
      <c r="B1" s="69"/>
      <c r="C1" s="69"/>
      <c r="D1" s="69"/>
      <c r="E1" s="69"/>
    </row>
    <row r="3" spans="1:9" ht="15.75" x14ac:dyDescent="0.25">
      <c r="A3" s="70" t="s">
        <v>1</v>
      </c>
      <c r="B3" s="70"/>
      <c r="C3" s="70"/>
      <c r="D3" s="70"/>
      <c r="E3" s="70"/>
    </row>
    <row r="5" spans="1:9" ht="24.95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4" t="s">
        <v>6</v>
      </c>
      <c r="I5" s="5"/>
    </row>
    <row r="6" spans="1:9" ht="25.5" x14ac:dyDescent="0.2">
      <c r="A6" s="6" t="s">
        <v>7</v>
      </c>
      <c r="B6" s="7"/>
      <c r="C6" s="7"/>
      <c r="D6" s="7"/>
      <c r="E6" s="8"/>
    </row>
    <row r="7" spans="1:9" x14ac:dyDescent="0.2">
      <c r="A7" s="9" t="s">
        <v>8</v>
      </c>
      <c r="B7" s="7"/>
      <c r="C7" s="7"/>
      <c r="D7" s="7"/>
      <c r="E7" s="10"/>
      <c r="F7" s="11"/>
    </row>
    <row r="8" spans="1:9" x14ac:dyDescent="0.2">
      <c r="A8" s="12" t="s">
        <v>9</v>
      </c>
      <c r="B8" s="13">
        <v>1000</v>
      </c>
      <c r="C8" s="13">
        <v>1000</v>
      </c>
      <c r="D8" s="13">
        <f t="shared" ref="D8:D17" si="0">C8*12</f>
        <v>12000</v>
      </c>
      <c r="E8" s="14">
        <f>IF(C8=0,D8/12/$B$25,C8/$B$25)</f>
        <v>7.8535470545271768E-2</v>
      </c>
      <c r="F8" s="11"/>
      <c r="G8" s="1"/>
    </row>
    <row r="9" spans="1:9" x14ac:dyDescent="0.2">
      <c r="A9" s="12" t="s">
        <v>10</v>
      </c>
      <c r="B9" s="13">
        <v>1000</v>
      </c>
      <c r="C9" s="13">
        <v>1000</v>
      </c>
      <c r="D9" s="13">
        <f t="shared" si="0"/>
        <v>12000</v>
      </c>
      <c r="E9" s="14">
        <f>IF(C9=0,D9/12/$B$25,C9/$B$25)</f>
        <v>7.8535470545271768E-2</v>
      </c>
      <c r="F9" s="11"/>
      <c r="G9" s="1"/>
    </row>
    <row r="10" spans="1:9" ht="25.5" x14ac:dyDescent="0.2">
      <c r="A10" s="15" t="s">
        <v>11</v>
      </c>
      <c r="B10" s="13">
        <v>250</v>
      </c>
      <c r="C10" s="13">
        <v>250</v>
      </c>
      <c r="D10" s="13">
        <f t="shared" si="0"/>
        <v>3000</v>
      </c>
      <c r="E10" s="14">
        <f>IF(C10=0,D10/12/$B$25,C10/$B$25)</f>
        <v>1.9633867636317942E-2</v>
      </c>
      <c r="F10" s="11"/>
      <c r="G10" s="1"/>
    </row>
    <row r="11" spans="1:9" x14ac:dyDescent="0.2">
      <c r="A11" s="15" t="s">
        <v>12</v>
      </c>
      <c r="B11" s="13">
        <v>2000</v>
      </c>
      <c r="C11" s="13">
        <v>2000</v>
      </c>
      <c r="D11" s="13">
        <v>24000</v>
      </c>
      <c r="E11" s="14"/>
      <c r="F11" s="11"/>
      <c r="G11" s="1"/>
    </row>
    <row r="12" spans="1:9" x14ac:dyDescent="0.2">
      <c r="A12" s="12" t="s">
        <v>13</v>
      </c>
      <c r="B12" s="16">
        <v>3.2</v>
      </c>
      <c r="C12" s="13">
        <f>B12*$B$25</f>
        <v>40745.920000000006</v>
      </c>
      <c r="D12" s="13">
        <f t="shared" ref="D12" si="1">C12*12</f>
        <v>488951.04000000004</v>
      </c>
      <c r="E12" s="14">
        <f t="shared" ref="E12:E17" si="2">IF(C12=0,D12/12/$B$25,C12/$B$25)</f>
        <v>3.2</v>
      </c>
      <c r="F12" s="11"/>
      <c r="G12" s="1"/>
    </row>
    <row r="13" spans="1:9" x14ac:dyDescent="0.2">
      <c r="A13" s="17" t="s">
        <v>50</v>
      </c>
      <c r="B13" s="18">
        <v>17.579999999999998</v>
      </c>
      <c r="C13" s="13">
        <f>B13*$B$25</f>
        <v>223847.89799999999</v>
      </c>
      <c r="D13" s="13">
        <f>C13*6</f>
        <v>1343087.3879999998</v>
      </c>
      <c r="E13" s="14">
        <f t="shared" si="2"/>
        <v>17.579999999999998</v>
      </c>
      <c r="F13" s="11"/>
      <c r="G13" s="1"/>
    </row>
    <row r="14" spans="1:9" x14ac:dyDescent="0.2">
      <c r="A14" s="17" t="s">
        <v>52</v>
      </c>
      <c r="B14" s="18">
        <v>18.04</v>
      </c>
      <c r="C14" s="13">
        <f>B14*$B$25</f>
        <v>229705.12399999998</v>
      </c>
      <c r="D14" s="13">
        <f>C14*6</f>
        <v>1378230.7439999999</v>
      </c>
      <c r="E14" s="14">
        <f t="shared" si="2"/>
        <v>18.04</v>
      </c>
      <c r="F14" s="11"/>
      <c r="G14" s="1"/>
    </row>
    <row r="15" spans="1:9" x14ac:dyDescent="0.2">
      <c r="A15" s="12" t="s">
        <v>51</v>
      </c>
      <c r="B15" s="18">
        <v>2.38</v>
      </c>
      <c r="C15" s="13">
        <f>B15*$B$25</f>
        <v>30304.777999999998</v>
      </c>
      <c r="D15" s="13">
        <f>C15*6</f>
        <v>181828.66800000001</v>
      </c>
      <c r="E15" s="14">
        <f t="shared" si="2"/>
        <v>2.38</v>
      </c>
      <c r="F15" s="11"/>
      <c r="G15" s="1"/>
    </row>
    <row r="16" spans="1:9" x14ac:dyDescent="0.2">
      <c r="A16" s="12" t="s">
        <v>14</v>
      </c>
      <c r="B16" s="19">
        <v>4.1399999999999997</v>
      </c>
      <c r="C16" s="13">
        <f>B16*$B$25</f>
        <v>52715.034</v>
      </c>
      <c r="D16" s="13">
        <f>C16*12</f>
        <v>632580.40800000005</v>
      </c>
      <c r="E16" s="14">
        <f t="shared" si="2"/>
        <v>4.1399999999999997</v>
      </c>
      <c r="F16" s="11"/>
      <c r="G16" s="1"/>
    </row>
    <row r="17" spans="1:8" x14ac:dyDescent="0.2">
      <c r="A17" s="12" t="s">
        <v>15</v>
      </c>
      <c r="B17" s="19">
        <v>40</v>
      </c>
      <c r="C17" s="13">
        <f>B17*221</f>
        <v>8840</v>
      </c>
      <c r="D17" s="13">
        <f t="shared" si="0"/>
        <v>106080</v>
      </c>
      <c r="E17" s="14">
        <f t="shared" si="2"/>
        <v>0.69425355962020241</v>
      </c>
      <c r="F17" s="11"/>
      <c r="G17" s="1"/>
    </row>
    <row r="18" spans="1:8" x14ac:dyDescent="0.2">
      <c r="A18" s="12" t="s">
        <v>75</v>
      </c>
      <c r="B18" s="16"/>
      <c r="C18" s="13">
        <f>D18/12</f>
        <v>14440</v>
      </c>
      <c r="D18" s="13">
        <v>173280</v>
      </c>
      <c r="E18" s="14"/>
      <c r="F18" s="11"/>
      <c r="G18" s="1"/>
    </row>
    <row r="19" spans="1:8" x14ac:dyDescent="0.2">
      <c r="A19" s="17" t="s">
        <v>76</v>
      </c>
      <c r="B19" s="20"/>
      <c r="C19" s="13">
        <f>D19/12</f>
        <v>14440</v>
      </c>
      <c r="D19" s="13">
        <v>173280</v>
      </c>
      <c r="E19" s="14"/>
      <c r="F19" s="11"/>
      <c r="G19" s="1"/>
    </row>
    <row r="20" spans="1:8" x14ac:dyDescent="0.2">
      <c r="A20" s="17" t="s">
        <v>48</v>
      </c>
      <c r="B20" s="20">
        <v>2.5</v>
      </c>
      <c r="C20" s="13">
        <f>B20*$B$25</f>
        <v>31832.75</v>
      </c>
      <c r="D20" s="13">
        <f>C20*6</f>
        <v>190996.5</v>
      </c>
      <c r="E20" s="14">
        <f t="shared" ref="E20" si="3">IF(C20=0,D20/12/$B$25,C20/$B$25)</f>
        <v>2.5</v>
      </c>
      <c r="F20" s="11"/>
      <c r="G20" s="1"/>
    </row>
    <row r="21" spans="1:8" x14ac:dyDescent="0.2">
      <c r="A21" s="17"/>
      <c r="B21" s="20"/>
      <c r="C21" s="13"/>
      <c r="D21" s="13"/>
      <c r="E21" s="68"/>
      <c r="F21" s="11"/>
      <c r="G21" s="1"/>
    </row>
    <row r="22" spans="1:8" x14ac:dyDescent="0.2">
      <c r="A22" s="9" t="s">
        <v>16</v>
      </c>
      <c r="B22" s="21"/>
      <c r="C22" s="22">
        <f>D22/12</f>
        <v>393276.22899999999</v>
      </c>
      <c r="D22" s="22">
        <f>SUM(D8:D20)</f>
        <v>4719314.7479999997</v>
      </c>
      <c r="E22" s="22">
        <f>SUM(E8:E12,E15:E20)+AVERAGE(E13,E14)</f>
        <v>30.900958368347062</v>
      </c>
      <c r="F22" s="11"/>
      <c r="G22" s="1"/>
    </row>
    <row r="23" spans="1:8" ht="25.5" x14ac:dyDescent="0.2">
      <c r="A23" s="23" t="s">
        <v>17</v>
      </c>
      <c r="B23" s="24"/>
      <c r="C23" s="25">
        <v>6000</v>
      </c>
      <c r="D23" s="25">
        <f>C23*12</f>
        <v>72000</v>
      </c>
      <c r="E23" s="26">
        <f>C23/$B$25</f>
        <v>0.47121282327163061</v>
      </c>
      <c r="F23" s="11"/>
      <c r="G23" s="1"/>
    </row>
    <row r="24" spans="1:8" ht="24.95" customHeight="1" x14ac:dyDescent="0.2">
      <c r="A24" s="27" t="s">
        <v>18</v>
      </c>
      <c r="B24" s="28"/>
      <c r="C24" s="22" t="s">
        <v>4</v>
      </c>
      <c r="D24" s="22" t="s">
        <v>5</v>
      </c>
      <c r="E24" s="29" t="s">
        <v>6</v>
      </c>
      <c r="F24" s="11"/>
      <c r="G24" s="1"/>
    </row>
    <row r="25" spans="1:8" x14ac:dyDescent="0.2">
      <c r="A25" s="30" t="s">
        <v>19</v>
      </c>
      <c r="B25" s="24">
        <v>12733.1</v>
      </c>
      <c r="C25" s="31"/>
      <c r="D25" s="31"/>
      <c r="E25" s="10"/>
      <c r="F25" s="11"/>
      <c r="G25" s="1"/>
    </row>
    <row r="26" spans="1:8" x14ac:dyDescent="0.2">
      <c r="A26" s="32" t="s">
        <v>20</v>
      </c>
      <c r="B26" s="31"/>
      <c r="C26" s="31"/>
      <c r="D26" s="31"/>
      <c r="E26" s="33"/>
      <c r="F26" s="11"/>
      <c r="G26" s="1"/>
    </row>
    <row r="27" spans="1:8" x14ac:dyDescent="0.2">
      <c r="A27" s="12" t="s">
        <v>21</v>
      </c>
      <c r="B27" s="34" t="s">
        <v>22</v>
      </c>
      <c r="C27" s="13">
        <v>40000</v>
      </c>
      <c r="D27" s="13">
        <f t="shared" ref="D27:D34" si="4">C27*12</f>
        <v>480000</v>
      </c>
      <c r="E27" s="14">
        <f t="shared" ref="E27:E34" si="5">IF(C27=0,D27/12/$B$25,C27/$B$25)</f>
        <v>3.1414188218108707</v>
      </c>
      <c r="F27" s="11"/>
      <c r="G27" s="1"/>
      <c r="H27" s="1"/>
    </row>
    <row r="28" spans="1:8" x14ac:dyDescent="0.2">
      <c r="A28" s="12" t="s">
        <v>23</v>
      </c>
      <c r="B28" s="34" t="s">
        <v>22</v>
      </c>
      <c r="C28" s="24">
        <f>C27*30.2/100</f>
        <v>12080</v>
      </c>
      <c r="D28" s="13">
        <f t="shared" si="4"/>
        <v>144960</v>
      </c>
      <c r="E28" s="14">
        <f t="shared" si="5"/>
        <v>0.94870848418688303</v>
      </c>
      <c r="F28" s="11"/>
      <c r="G28" s="1"/>
      <c r="H28" s="1"/>
    </row>
    <row r="29" spans="1:8" x14ac:dyDescent="0.2">
      <c r="A29" s="12" t="s">
        <v>24</v>
      </c>
      <c r="B29" s="34" t="s">
        <v>22</v>
      </c>
      <c r="C29" s="13">
        <v>20000</v>
      </c>
      <c r="D29" s="13">
        <f t="shared" si="4"/>
        <v>240000</v>
      </c>
      <c r="E29" s="14">
        <f t="shared" si="5"/>
        <v>1.5707094109054354</v>
      </c>
      <c r="F29" s="11"/>
      <c r="G29" s="1"/>
      <c r="H29" s="1"/>
    </row>
    <row r="30" spans="1:8" x14ac:dyDescent="0.2">
      <c r="A30" s="12" t="s">
        <v>25</v>
      </c>
      <c r="B30" s="34" t="s">
        <v>22</v>
      </c>
      <c r="C30" s="13">
        <f>C29*30.2/100</f>
        <v>6040</v>
      </c>
      <c r="D30" s="13">
        <f t="shared" si="4"/>
        <v>72480</v>
      </c>
      <c r="E30" s="14">
        <f t="shared" si="5"/>
        <v>0.47435424209344151</v>
      </c>
      <c r="F30" s="11"/>
      <c r="G30" s="1"/>
      <c r="H30" s="1"/>
    </row>
    <row r="31" spans="1:8" s="35" customFormat="1" x14ac:dyDescent="0.2">
      <c r="A31" s="12" t="s">
        <v>26</v>
      </c>
      <c r="B31" s="34"/>
      <c r="C31" s="13">
        <v>150</v>
      </c>
      <c r="D31" s="13">
        <f t="shared" si="4"/>
        <v>1800</v>
      </c>
      <c r="E31" s="14">
        <f t="shared" si="5"/>
        <v>1.1780320581790765E-2</v>
      </c>
      <c r="F31" s="11"/>
      <c r="G31" s="1"/>
      <c r="H31" s="1"/>
    </row>
    <row r="32" spans="1:8" s="36" customFormat="1" x14ac:dyDescent="0.2">
      <c r="A32" s="15" t="s">
        <v>27</v>
      </c>
      <c r="B32" s="37"/>
      <c r="C32" s="38">
        <v>200</v>
      </c>
      <c r="D32" s="38">
        <f t="shared" si="4"/>
        <v>2400</v>
      </c>
      <c r="E32" s="14">
        <f t="shared" si="5"/>
        <v>1.5707094109054354E-2</v>
      </c>
      <c r="F32" s="11"/>
      <c r="G32" s="1"/>
      <c r="H32" s="1"/>
    </row>
    <row r="33" spans="1:8" x14ac:dyDescent="0.2">
      <c r="A33" s="15" t="s">
        <v>28</v>
      </c>
      <c r="B33" s="34"/>
      <c r="C33" s="13">
        <v>900</v>
      </c>
      <c r="D33" s="13">
        <f t="shared" si="4"/>
        <v>10800</v>
      </c>
      <c r="E33" s="14">
        <f t="shared" si="5"/>
        <v>7.0681923490744591E-2</v>
      </c>
      <c r="F33" s="11"/>
      <c r="G33" s="1"/>
      <c r="H33" s="1"/>
    </row>
    <row r="34" spans="1:8" x14ac:dyDescent="0.2">
      <c r="A34" s="15" t="s">
        <v>29</v>
      </c>
      <c r="B34" s="34"/>
      <c r="C34" s="13">
        <v>3000</v>
      </c>
      <c r="D34" s="13">
        <f t="shared" si="4"/>
        <v>36000</v>
      </c>
      <c r="E34" s="14">
        <f t="shared" si="5"/>
        <v>0.2356064116358153</v>
      </c>
      <c r="F34" s="11"/>
      <c r="G34" s="1"/>
      <c r="H34" s="1"/>
    </row>
    <row r="35" spans="1:8" s="39" customFormat="1" x14ac:dyDescent="0.2">
      <c r="A35" s="40" t="s">
        <v>30</v>
      </c>
      <c r="B35" s="41"/>
      <c r="C35" s="42">
        <f>SUM(C27:C34)</f>
        <v>82370</v>
      </c>
      <c r="D35" s="42">
        <f>SUM(D27:D34)</f>
        <v>988440</v>
      </c>
      <c r="E35" s="43">
        <f>SUM(E27:E34)</f>
        <v>6.468966708814035</v>
      </c>
      <c r="F35" s="11"/>
      <c r="G35" s="1"/>
      <c r="H35" s="1"/>
    </row>
    <row r="36" spans="1:8" ht="25.5" x14ac:dyDescent="0.2">
      <c r="A36" s="44" t="s">
        <v>31</v>
      </c>
      <c r="B36" s="34"/>
      <c r="C36" s="31"/>
      <c r="D36" s="31"/>
      <c r="E36" s="14"/>
      <c r="F36" s="11"/>
      <c r="G36" s="1"/>
      <c r="H36" s="1"/>
    </row>
    <row r="37" spans="1:8" ht="38.25" x14ac:dyDescent="0.2">
      <c r="A37" s="15" t="s">
        <v>77</v>
      </c>
      <c r="B37" s="34" t="s">
        <v>22</v>
      </c>
      <c r="C37" s="13">
        <v>113927.72</v>
      </c>
      <c r="D37" s="13">
        <f t="shared" ref="D37:D38" si="6">C37*6</f>
        <v>683566.32000000007</v>
      </c>
      <c r="E37" s="14">
        <f t="shared" ref="E37:E42" si="7">IF(C37=0,D37/12/$B$25,C37/$B$25)</f>
        <v>8.9473670983499698</v>
      </c>
      <c r="F37" s="11"/>
      <c r="G37" s="1"/>
      <c r="H37" s="1"/>
    </row>
    <row r="38" spans="1:8" ht="25.5" x14ac:dyDescent="0.2">
      <c r="A38" s="15" t="s">
        <v>78</v>
      </c>
      <c r="B38" s="34"/>
      <c r="C38" s="13">
        <v>90000</v>
      </c>
      <c r="D38" s="13">
        <f t="shared" si="6"/>
        <v>540000</v>
      </c>
      <c r="E38" s="14">
        <f t="shared" si="7"/>
        <v>7.0681923490744589</v>
      </c>
      <c r="F38" s="11"/>
      <c r="G38" s="1"/>
      <c r="H38" s="1"/>
    </row>
    <row r="39" spans="1:8" x14ac:dyDescent="0.2">
      <c r="A39" s="12" t="s">
        <v>32</v>
      </c>
      <c r="B39" s="34" t="s">
        <v>22</v>
      </c>
      <c r="C39" s="13">
        <f t="shared" ref="C39:C45" si="8">D39/12</f>
        <v>1666.6666666666667</v>
      </c>
      <c r="D39" s="13">
        <v>20000</v>
      </c>
      <c r="E39" s="14">
        <f t="shared" si="7"/>
        <v>0.13089245090878629</v>
      </c>
      <c r="F39" s="11"/>
      <c r="G39" s="1"/>
      <c r="H39" s="1"/>
    </row>
    <row r="40" spans="1:8" x14ac:dyDescent="0.2">
      <c r="A40" s="12" t="s">
        <v>33</v>
      </c>
      <c r="B40" s="34" t="s">
        <v>22</v>
      </c>
      <c r="C40" s="13">
        <v>12200</v>
      </c>
      <c r="D40" s="13">
        <f>D22*0.02</f>
        <v>94386.294959999999</v>
      </c>
      <c r="E40" s="14">
        <f t="shared" si="7"/>
        <v>0.95813274065231557</v>
      </c>
      <c r="F40" s="11"/>
      <c r="G40" s="1"/>
      <c r="H40" s="1"/>
    </row>
    <row r="41" spans="1:8" x14ac:dyDescent="0.2">
      <c r="A41" s="12" t="s">
        <v>34</v>
      </c>
      <c r="B41" s="34" t="s">
        <v>22</v>
      </c>
      <c r="C41" s="13">
        <f t="shared" si="8"/>
        <v>120</v>
      </c>
      <c r="D41" s="13">
        <f>(D9+D8)*0.06</f>
        <v>1440</v>
      </c>
      <c r="E41" s="14">
        <f t="shared" si="7"/>
        <v>9.4242564654326132E-3</v>
      </c>
      <c r="F41" s="11"/>
      <c r="G41" s="1"/>
      <c r="H41" s="1"/>
    </row>
    <row r="42" spans="1:8" ht="25.5" x14ac:dyDescent="0.2">
      <c r="A42" s="15" t="s">
        <v>35</v>
      </c>
      <c r="B42" s="34" t="s">
        <v>22</v>
      </c>
      <c r="C42" s="38">
        <f t="shared" si="8"/>
        <v>1883.9241666666667</v>
      </c>
      <c r="D42" s="13">
        <v>22607.09</v>
      </c>
      <c r="E42" s="14">
        <f t="shared" si="7"/>
        <v>0.14795487090077566</v>
      </c>
      <c r="F42" s="11"/>
      <c r="G42" s="1"/>
      <c r="H42" s="1"/>
    </row>
    <row r="43" spans="1:8" ht="25.5" x14ac:dyDescent="0.2">
      <c r="A43" s="15" t="s">
        <v>36</v>
      </c>
      <c r="B43" s="34"/>
      <c r="C43" s="13">
        <f t="shared" si="8"/>
        <v>2083.3333333333335</v>
      </c>
      <c r="D43" s="13">
        <v>25000</v>
      </c>
      <c r="E43" s="14">
        <f>C43/B25</f>
        <v>0.16361556363598287</v>
      </c>
      <c r="F43" s="11"/>
      <c r="G43" s="1"/>
      <c r="H43" s="1"/>
    </row>
    <row r="44" spans="1:8" ht="25.5" x14ac:dyDescent="0.2">
      <c r="A44" s="15" t="s">
        <v>37</v>
      </c>
      <c r="B44" s="34"/>
      <c r="C44" s="13">
        <f t="shared" si="8"/>
        <v>4666.666666666667</v>
      </c>
      <c r="D44" s="13">
        <v>56000</v>
      </c>
      <c r="E44" s="14">
        <f>C44/B25</f>
        <v>0.36649886254460162</v>
      </c>
      <c r="F44" s="11"/>
      <c r="G44" s="1"/>
      <c r="H44" s="1"/>
    </row>
    <row r="45" spans="1:8" x14ac:dyDescent="0.2">
      <c r="A45" s="45" t="s">
        <v>38</v>
      </c>
      <c r="B45" s="46"/>
      <c r="C45" s="13">
        <f t="shared" si="8"/>
        <v>4166.666666666667</v>
      </c>
      <c r="D45" s="13">
        <v>50000</v>
      </c>
      <c r="E45" s="14">
        <f t="shared" ref="E45:E47" si="9">IF(C45=0,D45/12/$B$25,C45/$B$25)</f>
        <v>0.32723112727196574</v>
      </c>
      <c r="F45" s="11"/>
      <c r="G45" s="1"/>
      <c r="H45" s="1"/>
    </row>
    <row r="46" spans="1:8" x14ac:dyDescent="0.2">
      <c r="A46" s="45" t="s">
        <v>49</v>
      </c>
      <c r="B46" s="46"/>
      <c r="C46" s="52">
        <f>$B$25*E46</f>
        <v>6366.55</v>
      </c>
      <c r="D46" s="52">
        <f>C46*12</f>
        <v>76398.600000000006</v>
      </c>
      <c r="E46" s="52">
        <v>0.5</v>
      </c>
      <c r="F46" s="11"/>
      <c r="G46" s="1"/>
      <c r="H46" s="1"/>
    </row>
    <row r="47" spans="1:8" ht="51" x14ac:dyDescent="0.2">
      <c r="A47" s="47" t="s">
        <v>79</v>
      </c>
      <c r="B47" s="46"/>
      <c r="C47" s="13">
        <v>12223</v>
      </c>
      <c r="D47" s="13">
        <f>C47*12</f>
        <v>146676</v>
      </c>
      <c r="E47" s="14">
        <f t="shared" si="9"/>
        <v>0.95993905647485689</v>
      </c>
      <c r="F47" s="11"/>
      <c r="G47" s="1"/>
      <c r="H47" s="1"/>
    </row>
    <row r="48" spans="1:8" s="39" customFormat="1" x14ac:dyDescent="0.2">
      <c r="A48" s="48" t="s">
        <v>39</v>
      </c>
      <c r="B48" s="49"/>
      <c r="C48" s="42">
        <f>D48/12</f>
        <v>143006.19208000004</v>
      </c>
      <c r="D48" s="42">
        <f>SUM(D37:D47)</f>
        <v>1716074.3049600003</v>
      </c>
      <c r="E48" s="42">
        <f>SUM(E39:E47)+AVERAGE(E37,E38)</f>
        <v>11.571468652566931</v>
      </c>
      <c r="F48" s="11"/>
      <c r="G48" s="1"/>
      <c r="H48" s="1"/>
    </row>
    <row r="49" spans="1:8" s="39" customFormat="1" x14ac:dyDescent="0.2">
      <c r="A49" s="50" t="s">
        <v>40</v>
      </c>
      <c r="B49" s="49"/>
      <c r="C49" s="42"/>
      <c r="D49" s="42"/>
      <c r="E49" s="42"/>
      <c r="F49" s="11"/>
      <c r="G49" s="1"/>
      <c r="H49" s="1"/>
    </row>
    <row r="50" spans="1:8" s="39" customFormat="1" ht="38.25" x14ac:dyDescent="0.2">
      <c r="A50" s="51" t="s">
        <v>47</v>
      </c>
      <c r="B50" s="34"/>
      <c r="C50" s="52">
        <f>$B$25*E50</f>
        <v>31832.75</v>
      </c>
      <c r="D50" s="52">
        <f>C50*6</f>
        <v>190996.5</v>
      </c>
      <c r="E50" s="52">
        <v>2.5</v>
      </c>
      <c r="F50" s="11"/>
      <c r="G50" s="1"/>
      <c r="H50" s="1"/>
    </row>
    <row r="51" spans="1:8" s="39" customFormat="1" x14ac:dyDescent="0.2">
      <c r="A51" s="53"/>
      <c r="B51" s="34"/>
      <c r="F51" s="11"/>
      <c r="G51" s="1"/>
      <c r="H51" s="1"/>
    </row>
    <row r="52" spans="1:8" x14ac:dyDescent="0.2">
      <c r="A52" s="54" t="s">
        <v>53</v>
      </c>
      <c r="B52" s="49"/>
      <c r="C52" s="42"/>
      <c r="D52" s="42"/>
      <c r="E52" s="42"/>
      <c r="F52" s="11"/>
      <c r="G52" s="1"/>
      <c r="H52" s="1"/>
    </row>
    <row r="53" spans="1:8" ht="38.25" x14ac:dyDescent="0.2">
      <c r="A53" s="55" t="s">
        <v>54</v>
      </c>
      <c r="B53" s="49"/>
      <c r="C53" s="13">
        <f>D53/12</f>
        <v>40700</v>
      </c>
      <c r="D53" s="13">
        <v>488400</v>
      </c>
      <c r="E53" s="13">
        <f>IF(C53=0,D53/12/$B$25,C53/$B$25)</f>
        <v>3.1963936511925612</v>
      </c>
      <c r="F53" s="11"/>
      <c r="G53" s="1"/>
      <c r="H53" s="1"/>
    </row>
    <row r="54" spans="1:8" x14ac:dyDescent="0.2">
      <c r="A54" s="56" t="s">
        <v>55</v>
      </c>
      <c r="B54" s="31"/>
      <c r="C54" s="13"/>
      <c r="D54" s="13"/>
      <c r="E54" s="13"/>
      <c r="F54" s="11"/>
      <c r="G54" s="1"/>
      <c r="H54" s="1"/>
    </row>
    <row r="55" spans="1:8" x14ac:dyDescent="0.2">
      <c r="A55" s="57" t="s">
        <v>56</v>
      </c>
      <c r="B55" s="34" t="s">
        <v>22</v>
      </c>
      <c r="C55" s="13">
        <v>29506.74</v>
      </c>
      <c r="D55" s="13">
        <f>C55*12</f>
        <v>354080.88</v>
      </c>
      <c r="E55" s="13">
        <f t="shared" ref="E55:E62" si="10">IF(C55=0,D55/12/$B$25,C55/$B$25)</f>
        <v>2.3173257101569926</v>
      </c>
      <c r="F55" s="11"/>
      <c r="G55" s="1"/>
      <c r="H55" s="1"/>
    </row>
    <row r="56" spans="1:8" ht="25.5" x14ac:dyDescent="0.2">
      <c r="A56" s="51" t="s">
        <v>57</v>
      </c>
      <c r="B56" s="34" t="s">
        <v>22</v>
      </c>
      <c r="C56" s="13">
        <f t="shared" ref="C56:C62" si="11">D56/12</f>
        <v>1333.3333333333333</v>
      </c>
      <c r="D56" s="13">
        <v>16000</v>
      </c>
      <c r="E56" s="13">
        <f t="shared" si="10"/>
        <v>0.10471396072702902</v>
      </c>
      <c r="F56" s="11"/>
      <c r="G56" s="1"/>
      <c r="H56" s="1"/>
    </row>
    <row r="57" spans="1:8" x14ac:dyDescent="0.2">
      <c r="A57" s="51" t="s">
        <v>58</v>
      </c>
      <c r="B57" s="34" t="s">
        <v>22</v>
      </c>
      <c r="C57" s="13">
        <f t="shared" si="11"/>
        <v>150</v>
      </c>
      <c r="D57" s="13">
        <v>1800</v>
      </c>
      <c r="E57" s="13">
        <f t="shared" si="10"/>
        <v>1.1780320581790765E-2</v>
      </c>
      <c r="F57" s="11"/>
      <c r="G57" s="1"/>
      <c r="H57" s="1"/>
    </row>
    <row r="58" spans="1:8" ht="25.5" x14ac:dyDescent="0.2">
      <c r="A58" s="51" t="s">
        <v>59</v>
      </c>
      <c r="B58" s="34" t="s">
        <v>22</v>
      </c>
      <c r="C58" s="13">
        <f t="shared" si="11"/>
        <v>3500</v>
      </c>
      <c r="D58" s="13">
        <v>42000</v>
      </c>
      <c r="E58" s="13">
        <f t="shared" si="10"/>
        <v>0.27487414690845119</v>
      </c>
      <c r="F58" s="11"/>
      <c r="G58" s="1"/>
      <c r="H58" s="1"/>
    </row>
    <row r="59" spans="1:8" x14ac:dyDescent="0.2">
      <c r="A59" s="58" t="s">
        <v>60</v>
      </c>
      <c r="B59" s="7"/>
      <c r="C59" s="13">
        <f t="shared" si="11"/>
        <v>4666.666666666667</v>
      </c>
      <c r="D59" s="13">
        <v>56000</v>
      </c>
      <c r="E59" s="13">
        <f t="shared" si="10"/>
        <v>0.36649886254460162</v>
      </c>
      <c r="F59" s="11"/>
      <c r="G59" s="1"/>
      <c r="H59" s="1"/>
    </row>
    <row r="60" spans="1:8" ht="25.5" x14ac:dyDescent="0.2">
      <c r="A60" s="51" t="s">
        <v>61</v>
      </c>
      <c r="B60" s="7"/>
      <c r="C60" s="13">
        <f t="shared" si="11"/>
        <v>6391.666666666667</v>
      </c>
      <c r="D60" s="13">
        <v>76700</v>
      </c>
      <c r="E60" s="13">
        <f t="shared" si="10"/>
        <v>0.50197254923519541</v>
      </c>
      <c r="F60" s="11"/>
      <c r="G60" s="1"/>
      <c r="H60" s="1"/>
    </row>
    <row r="61" spans="1:8" x14ac:dyDescent="0.2">
      <c r="A61" s="51" t="s">
        <v>62</v>
      </c>
      <c r="B61" s="7"/>
      <c r="C61" s="13">
        <v>5500</v>
      </c>
      <c r="D61" s="13">
        <v>66000</v>
      </c>
      <c r="E61" s="13">
        <f t="shared" si="10"/>
        <v>0.43194508799899473</v>
      </c>
      <c r="F61" s="11"/>
      <c r="G61" s="1"/>
      <c r="H61" s="1"/>
    </row>
    <row r="62" spans="1:8" x14ac:dyDescent="0.2">
      <c r="A62" s="51" t="s">
        <v>63</v>
      </c>
      <c r="B62" s="7"/>
      <c r="C62" s="13">
        <f t="shared" si="11"/>
        <v>1666.6666666666667</v>
      </c>
      <c r="D62" s="13">
        <v>20000</v>
      </c>
      <c r="E62" s="13">
        <f t="shared" si="10"/>
        <v>0.13089245090878629</v>
      </c>
      <c r="F62" s="11"/>
      <c r="G62" s="1"/>
      <c r="H62" s="1"/>
    </row>
    <row r="63" spans="1:8" s="39" customFormat="1" x14ac:dyDescent="0.2">
      <c r="A63" s="48" t="s">
        <v>41</v>
      </c>
      <c r="B63" s="49"/>
      <c r="C63" s="22">
        <f>SUM(C55:C62)</f>
        <v>52715.073333333326</v>
      </c>
      <c r="D63" s="22">
        <f>SUM(D55:D62)</f>
        <v>632580.88</v>
      </c>
      <c r="E63" s="22">
        <f>SUM(E55:E62)</f>
        <v>4.1400030890618416</v>
      </c>
      <c r="F63" s="11"/>
      <c r="G63" s="1"/>
      <c r="H63" s="1"/>
    </row>
    <row r="64" spans="1:8" s="39" customFormat="1" ht="25.5" x14ac:dyDescent="0.2">
      <c r="A64" s="50" t="s">
        <v>64</v>
      </c>
      <c r="B64" s="49"/>
      <c r="C64" s="22"/>
      <c r="D64" s="22"/>
      <c r="E64" s="22"/>
      <c r="F64" s="11"/>
      <c r="G64" s="1"/>
      <c r="H64" s="1"/>
    </row>
    <row r="65" spans="1:8" s="39" customFormat="1" ht="38.25" x14ac:dyDescent="0.2">
      <c r="A65" s="48" t="s">
        <v>65</v>
      </c>
      <c r="B65" s="49"/>
      <c r="C65" s="59">
        <f t="shared" ref="C65:C72" si="12">D65/12</f>
        <v>7083.333333333333</v>
      </c>
      <c r="D65" s="59">
        <v>85000</v>
      </c>
      <c r="E65" s="59">
        <f t="shared" ref="E65:E71" si="13">IF(C65=0,D65/12/$B$25,C65/$B$25)</f>
        <v>0.55629291636234168</v>
      </c>
      <c r="F65" s="11"/>
      <c r="G65" s="1"/>
      <c r="H65" s="1"/>
    </row>
    <row r="66" spans="1:8" s="39" customFormat="1" ht="38.25" x14ac:dyDescent="0.2">
      <c r="A66" s="48" t="s">
        <v>66</v>
      </c>
      <c r="B66" s="49"/>
      <c r="C66" s="59">
        <f t="shared" si="12"/>
        <v>6583.333333333333</v>
      </c>
      <c r="D66" s="59">
        <v>79000</v>
      </c>
      <c r="E66" s="59">
        <f t="shared" si="13"/>
        <v>0.51702518108970574</v>
      </c>
      <c r="F66" s="11"/>
      <c r="G66" s="1"/>
      <c r="H66" s="1"/>
    </row>
    <row r="67" spans="1:8" s="39" customFormat="1" ht="25.5" x14ac:dyDescent="0.2">
      <c r="A67" s="48" t="s">
        <v>67</v>
      </c>
      <c r="B67" s="49"/>
      <c r="C67" s="59">
        <f t="shared" si="12"/>
        <v>2916.6666666666665</v>
      </c>
      <c r="D67" s="59">
        <v>35000</v>
      </c>
      <c r="E67" s="59">
        <f t="shared" si="13"/>
        <v>0.22906178909037597</v>
      </c>
      <c r="F67" s="11"/>
      <c r="G67" s="1"/>
      <c r="H67" s="1"/>
    </row>
    <row r="68" spans="1:8" s="39" customFormat="1" ht="25.5" x14ac:dyDescent="0.2">
      <c r="A68" s="48" t="s">
        <v>68</v>
      </c>
      <c r="B68" s="49"/>
      <c r="C68" s="59">
        <f t="shared" si="12"/>
        <v>3666.6666666666665</v>
      </c>
      <c r="D68" s="59">
        <v>44000</v>
      </c>
      <c r="E68" s="59">
        <f t="shared" si="13"/>
        <v>0.2879633919993298</v>
      </c>
      <c r="F68" s="11"/>
      <c r="G68" s="1"/>
      <c r="H68" s="1"/>
    </row>
    <row r="69" spans="1:8" s="39" customFormat="1" x14ac:dyDescent="0.2">
      <c r="A69" s="48" t="s">
        <v>69</v>
      </c>
      <c r="B69" s="49"/>
      <c r="C69" s="59">
        <f t="shared" si="12"/>
        <v>4166.666666666667</v>
      </c>
      <c r="D69" s="59">
        <v>50000</v>
      </c>
      <c r="E69" s="59">
        <f t="shared" si="13"/>
        <v>0.32723112727196574</v>
      </c>
      <c r="F69" s="11"/>
      <c r="G69" s="1"/>
      <c r="H69" s="1"/>
    </row>
    <row r="70" spans="1:8" s="39" customFormat="1" ht="25.5" x14ac:dyDescent="0.2">
      <c r="A70" s="48" t="s">
        <v>70</v>
      </c>
      <c r="B70" s="49"/>
      <c r="C70" s="59">
        <v>1500</v>
      </c>
      <c r="D70" s="59">
        <f>C70*12</f>
        <v>18000</v>
      </c>
      <c r="E70" s="59">
        <f t="shared" si="13"/>
        <v>0.11780320581790765</v>
      </c>
      <c r="F70" s="11"/>
      <c r="G70" s="1"/>
      <c r="H70" s="1"/>
    </row>
    <row r="71" spans="1:8" s="39" customFormat="1" ht="25.5" x14ac:dyDescent="0.2">
      <c r="A71" s="60" t="s">
        <v>71</v>
      </c>
      <c r="B71" s="49"/>
      <c r="C71" s="59">
        <f t="shared" si="12"/>
        <v>3833.3333333333335</v>
      </c>
      <c r="D71" s="59">
        <v>46000</v>
      </c>
      <c r="E71" s="59">
        <f t="shared" si="13"/>
        <v>0.30105263709020846</v>
      </c>
      <c r="F71" s="11"/>
      <c r="G71" s="1"/>
      <c r="H71" s="1"/>
    </row>
    <row r="72" spans="1:8" x14ac:dyDescent="0.2">
      <c r="A72" s="48" t="s">
        <v>42</v>
      </c>
      <c r="B72" s="49"/>
      <c r="C72" s="22">
        <f t="shared" si="12"/>
        <v>29750</v>
      </c>
      <c r="D72" s="22">
        <f>SUM(D65:D71)</f>
        <v>357000</v>
      </c>
      <c r="E72" s="22">
        <f>SUM(E65:E71)</f>
        <v>2.3364302487218347</v>
      </c>
      <c r="F72" s="11"/>
      <c r="G72" s="1"/>
      <c r="H72" s="1"/>
    </row>
    <row r="73" spans="1:8" ht="25.5" x14ac:dyDescent="0.2">
      <c r="A73" s="50" t="s">
        <v>80</v>
      </c>
      <c r="B73" s="49"/>
      <c r="C73" s="22">
        <f>$B$25*E73</f>
        <v>30304.777999999998</v>
      </c>
      <c r="D73" s="22">
        <f>C73*6</f>
        <v>181828.66800000001</v>
      </c>
      <c r="E73" s="22">
        <v>2.38</v>
      </c>
      <c r="F73" s="11"/>
      <c r="G73" s="1"/>
      <c r="H73" s="1"/>
    </row>
    <row r="74" spans="1:8" ht="38.25" x14ac:dyDescent="0.2">
      <c r="A74" s="50" t="s">
        <v>72</v>
      </c>
      <c r="B74" s="49"/>
      <c r="C74" s="59"/>
      <c r="D74" s="22">
        <v>51000</v>
      </c>
      <c r="E74" s="59"/>
      <c r="F74" s="11"/>
      <c r="G74" s="1"/>
      <c r="H74" s="1"/>
    </row>
    <row r="75" spans="1:8" ht="14.25" customHeight="1" x14ac:dyDescent="0.2">
      <c r="A75" s="61" t="s">
        <v>73</v>
      </c>
      <c r="B75" s="62"/>
      <c r="C75" s="22">
        <f>C63+C48+C35+C53+C72+C73+C74+C50+C46</f>
        <v>417045.34341333335</v>
      </c>
      <c r="D75" s="22">
        <f>D63+D48+D35+D53+D72+D73+D74+D50+D46</f>
        <v>4682718.9529599994</v>
      </c>
      <c r="E75" s="22">
        <f>E63+E48+E35+E53+E72+E73+E74+E50+E46</f>
        <v>33.093262350357207</v>
      </c>
      <c r="F75" s="11"/>
      <c r="G75" s="1"/>
      <c r="H75" s="1"/>
    </row>
    <row r="76" spans="1:8" x14ac:dyDescent="0.2">
      <c r="A76" s="63" t="s">
        <v>43</v>
      </c>
      <c r="B76" s="25"/>
      <c r="C76" s="22"/>
      <c r="D76" s="22">
        <f>D22-D75-D23</f>
        <v>-35404.20495999977</v>
      </c>
      <c r="E76" s="13"/>
      <c r="F76" s="11"/>
      <c r="G76" s="1"/>
      <c r="H76" s="1"/>
    </row>
    <row r="77" spans="1:8" x14ac:dyDescent="0.2">
      <c r="A77" s="57"/>
      <c r="B77" s="31"/>
      <c r="C77" s="31"/>
      <c r="D77" s="31"/>
      <c r="E77" s="31"/>
      <c r="F77" s="11"/>
      <c r="G77" s="1"/>
      <c r="H77" s="1"/>
    </row>
    <row r="78" spans="1:8" x14ac:dyDescent="0.2">
      <c r="A78" s="50" t="s">
        <v>74</v>
      </c>
      <c r="B78" s="31"/>
      <c r="C78" s="31"/>
      <c r="D78" s="31"/>
      <c r="E78" s="31"/>
      <c r="G78" s="1"/>
      <c r="H78" s="1"/>
    </row>
    <row r="79" spans="1:8" x14ac:dyDescent="0.2">
      <c r="A79" s="64" t="s">
        <v>44</v>
      </c>
      <c r="B79" s="16">
        <v>13.73</v>
      </c>
      <c r="C79" s="65">
        <f>B79*$B25</f>
        <v>174825.46300000002</v>
      </c>
      <c r="D79" s="65">
        <f>C79*12</f>
        <v>2097905.5560000003</v>
      </c>
      <c r="E79" s="65">
        <v>13.73</v>
      </c>
      <c r="G79" s="1"/>
      <c r="H79" s="1"/>
    </row>
    <row r="80" spans="1:8" ht="25.5" x14ac:dyDescent="0.2">
      <c r="A80" s="66" t="s">
        <v>45</v>
      </c>
      <c r="B80" s="67"/>
      <c r="C80" s="59">
        <f>D80/12</f>
        <v>47166.666666666664</v>
      </c>
      <c r="D80" s="59">
        <v>566000</v>
      </c>
      <c r="E80" s="59">
        <f>IF(C80=0,D80/12/$B$25,C80/$B$25)</f>
        <v>3.7042563607186518</v>
      </c>
      <c r="G80" s="1"/>
      <c r="H80" s="1"/>
    </row>
    <row r="81" spans="1:8" x14ac:dyDescent="0.2">
      <c r="A81" s="63" t="s">
        <v>46</v>
      </c>
      <c r="B81" s="31"/>
      <c r="C81" s="24"/>
      <c r="D81" s="24">
        <f>D79-D80</f>
        <v>1531905.5560000003</v>
      </c>
      <c r="E81" s="24"/>
      <c r="H81" s="1"/>
    </row>
  </sheetData>
  <mergeCells count="2">
    <mergeCell ref="A1:E1"/>
    <mergeCell ref="A3:E3"/>
  </mergeCells>
  <pageMargins left="0.78750000000000009" right="0.39375000000000004" top="0.39375000000000004" bottom="0.39375000000000004" header="0.51180555555555496" footer="0.51180555555555496"/>
  <pageSetup paperSize="9" firstPageNumber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95" workbookViewId="0">
      <selection activeCell="D32" sqref="D32"/>
    </sheetView>
  </sheetViews>
  <sheetFormatPr defaultRowHeight="12.75" x14ac:dyDescent="0.2"/>
  <sheetData/>
  <pageMargins left="0.78750000000000009" right="0.78750000000000009" top="1.05277777777778" bottom="1.05277777777778" header="0.78750000000000009" footer="0.78750000000000009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Швецова Ольга Владимировна</dc:creator>
  <cp:lastModifiedBy>TSG</cp:lastModifiedBy>
  <cp:revision>3</cp:revision>
  <dcterms:created xsi:type="dcterms:W3CDTF">2020-03-13T08:40:55Z</dcterms:created>
  <dcterms:modified xsi:type="dcterms:W3CDTF">2025-05-03T18:44:28Z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