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СОбр 2021\собрание 2022\МАТ соб 2022\"/>
    </mc:Choice>
  </mc:AlternateContent>
  <bookViews>
    <workbookView xWindow="0" yWindow="0" windowWidth="19200" windowHeight="11505" tabRatio="500" activeTab="2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 iterateDelta="1E-4"/>
</workbook>
</file>

<file path=xl/calcChain.xml><?xml version="1.0" encoding="utf-8"?>
<calcChain xmlns="http://schemas.openxmlformats.org/spreadsheetml/2006/main">
  <c r="E42" i="3" l="1"/>
  <c r="E26" i="3"/>
  <c r="C12" i="3" l="1"/>
  <c r="C14" i="3" l="1"/>
  <c r="E14" i="3" s="1"/>
  <c r="E12" i="3"/>
  <c r="D12" i="3"/>
  <c r="D14" i="3" l="1"/>
  <c r="D31" i="3"/>
  <c r="D63" i="3" l="1"/>
  <c r="D29" i="3" l="1"/>
  <c r="C16" i="3" l="1"/>
  <c r="D16" i="3" s="1"/>
  <c r="C15" i="3"/>
  <c r="D15" i="3" s="1"/>
  <c r="E16" i="3" l="1"/>
  <c r="C69" i="3"/>
  <c r="D69" i="3" s="1"/>
  <c r="C70" i="3" l="1"/>
  <c r="C46" i="3"/>
  <c r="D42" i="3"/>
  <c r="C41" i="3"/>
  <c r="C40" i="3"/>
  <c r="C39" i="3"/>
  <c r="E70" i="3"/>
  <c r="D71" i="3" l="1"/>
  <c r="E29" i="3"/>
  <c r="C55" i="3" l="1"/>
  <c r="E55" i="3" s="1"/>
  <c r="C54" i="3"/>
  <c r="E54" i="3" s="1"/>
  <c r="C53" i="3"/>
  <c r="E53" i="3" s="1"/>
  <c r="C52" i="3"/>
  <c r="E52" i="3" s="1"/>
  <c r="C51" i="3"/>
  <c r="E51" i="3" s="1"/>
  <c r="C50" i="3"/>
  <c r="E50" i="3" s="1"/>
  <c r="C49" i="3"/>
  <c r="E48" i="3"/>
  <c r="D48" i="3"/>
  <c r="D56" i="3" s="1"/>
  <c r="E41" i="3"/>
  <c r="E40" i="3"/>
  <c r="E39" i="3"/>
  <c r="C38" i="3"/>
  <c r="E38" i="3" s="1"/>
  <c r="C35" i="3"/>
  <c r="E35" i="3" s="1"/>
  <c r="E34" i="3"/>
  <c r="D34" i="3"/>
  <c r="E33" i="3"/>
  <c r="E31" i="3"/>
  <c r="E30" i="3"/>
  <c r="D30" i="3"/>
  <c r="E28" i="3"/>
  <c r="D28" i="3"/>
  <c r="C27" i="3"/>
  <c r="D26" i="3"/>
  <c r="C25" i="3"/>
  <c r="D24" i="3"/>
  <c r="E24" i="3" s="1"/>
  <c r="E20" i="3"/>
  <c r="D20" i="3"/>
  <c r="C17" i="3"/>
  <c r="C13" i="3"/>
  <c r="E10" i="3"/>
  <c r="D10" i="3"/>
  <c r="E9" i="3"/>
  <c r="D9" i="3"/>
  <c r="E8" i="3"/>
  <c r="D8" i="3"/>
  <c r="C19" i="3" l="1"/>
  <c r="D13" i="3"/>
  <c r="D19" i="3" s="1"/>
  <c r="E49" i="3"/>
  <c r="E56" i="3" s="1"/>
  <c r="C56" i="3"/>
  <c r="D37" i="3"/>
  <c r="C37" i="3" s="1"/>
  <c r="E37" i="3" s="1"/>
  <c r="D17" i="3"/>
  <c r="E17" i="3" s="1"/>
  <c r="D27" i="3"/>
  <c r="E27" i="3" s="1"/>
  <c r="C32" i="3"/>
  <c r="E15" i="3"/>
  <c r="E25" i="3"/>
  <c r="E46" i="3"/>
  <c r="E13" i="3"/>
  <c r="D25" i="3"/>
  <c r="E19" i="3" l="1"/>
  <c r="D36" i="3"/>
  <c r="D44" i="3" s="1"/>
  <c r="E32" i="3"/>
  <c r="D32" i="3"/>
  <c r="C36" i="3" l="1"/>
  <c r="D64" i="3"/>
  <c r="D65" i="3" l="1"/>
  <c r="E36" i="3"/>
  <c r="E44" i="3" s="1"/>
  <c r="C44" i="3"/>
  <c r="E64" i="3" l="1"/>
</calcChain>
</file>

<file path=xl/sharedStrings.xml><?xml version="1.0" encoding="utf-8"?>
<sst xmlns="http://schemas.openxmlformats.org/spreadsheetml/2006/main" count="87" uniqueCount="72">
  <si>
    <t>(Утверждается общим собранием)</t>
  </si>
  <si>
    <t>ДОХОДЫ:</t>
  </si>
  <si>
    <t>по тарифу</t>
  </si>
  <si>
    <t>в месяц</t>
  </si>
  <si>
    <t>в год</t>
  </si>
  <si>
    <t>Сумма в руб. за 1 м2 в мес.</t>
  </si>
  <si>
    <t>в т.ч. ООО "Ростелекомт"</t>
  </si>
  <si>
    <t xml:space="preserve">         ООО "Макснет"</t>
  </si>
  <si>
    <t xml:space="preserve">ПАО «Вымпелком»
</t>
  </si>
  <si>
    <t>Доходы по статье текущий ремонт</t>
  </si>
  <si>
    <t>ИТОГО ПО ВСЕМ ДОХОДАМ:</t>
  </si>
  <si>
    <t>СТАТЬИ РАСХОДОВ:</t>
  </si>
  <si>
    <t xml:space="preserve">общая площадь, м2  </t>
  </si>
  <si>
    <t xml:space="preserve">1. Управление: </t>
  </si>
  <si>
    <t>1.1.Ежемесячное вознаграждение (заработная плата) Председателя</t>
  </si>
  <si>
    <t>*</t>
  </si>
  <si>
    <t>1.2.Отчисления налогов с вознаграждения Председателя (30,2%)</t>
  </si>
  <si>
    <t>1.3. Ежемесячное вознаграждение (заработная плата) Бухгалтера</t>
  </si>
  <si>
    <t>1.4.Отчисления налогов с вознаграждения Бухгалтера (30,2%)</t>
  </si>
  <si>
    <t>1.7. Мобильная связь председатель, бухгалтер</t>
  </si>
  <si>
    <t>1.8. Договор с паспортиской</t>
  </si>
  <si>
    <t>Всего по управлению:</t>
  </si>
  <si>
    <t>2. Содержание и обслуживание общего имущества дома:</t>
  </si>
  <si>
    <t>2.2. Оплата услуг банка</t>
  </si>
  <si>
    <t>2.3. Оплата ЕИРЦ-1 (2%)</t>
  </si>
  <si>
    <t>2.4. Налоги с дохода  (6%)</t>
  </si>
  <si>
    <t>Всего по содержанию и обслуживанию общего имущества дома:</t>
  </si>
  <si>
    <t>3.Текущий ремонт</t>
  </si>
  <si>
    <t>4. Содержание и ремонт лифта</t>
  </si>
  <si>
    <t>4.1. Договор на технич. обслуживание лифтов с ОАО "Калугалифтремстрой".</t>
  </si>
  <si>
    <r>
      <rPr>
        <sz val="10"/>
        <rFont val="Arial Cyr"/>
        <family val="2"/>
        <charset val="204"/>
      </rPr>
      <t xml:space="preserve">4.2. Договор на освидетельствование лифтов </t>
    </r>
    <r>
      <rPr>
        <u/>
        <sz val="10"/>
        <rFont val="Arial Cyr"/>
        <family val="2"/>
        <charset val="204"/>
      </rPr>
      <t xml:space="preserve">ежегодно </t>
    </r>
    <r>
      <rPr>
        <sz val="10"/>
        <rFont val="Arial Cyr"/>
        <family val="2"/>
        <charset val="204"/>
      </rPr>
      <t>с ООО "Калугалифт". (6 лифтов)</t>
    </r>
  </si>
  <si>
    <t>4.3.Страхование лифтов</t>
  </si>
  <si>
    <t>4.6 Выполнение обязательных работ после освидетельствования лифтов</t>
  </si>
  <si>
    <t>4.8. Резерв в случае аварийной поломки лифтов по вине собственников</t>
  </si>
  <si>
    <t>Всего по содержанию и ремонту лифтов:</t>
  </si>
  <si>
    <t>ДОХОДЫ - РАСХОДЫ</t>
  </si>
  <si>
    <t>1.5. Заправка катрижей</t>
  </si>
  <si>
    <t>5.Капитальный ремонт (мин. размер устанавл. Калуж обл.)</t>
  </si>
  <si>
    <t>ДОХОДЫ - РАСХОДЫ по статье капитальный ремонт</t>
  </si>
  <si>
    <t>4.7. Дополнительная, полная уборка лифтов 1 раз  в неделю</t>
  </si>
  <si>
    <t>2.8. Механизированная уборка придомовой территории в зимнее время</t>
  </si>
  <si>
    <t>2.9. Обслуживание системы домофонных панелей на дверях и калитках, обслуживание автоматики 5 ворот,  обслуживание  4 видеокамер,подключенных к приложению "Ключ".</t>
  </si>
  <si>
    <t>4.4. На освидетельствование лифтов 1 раз в 25 лет,на плановою или аварийную замену канатов,для проведения среднего ремонта.</t>
  </si>
  <si>
    <t xml:space="preserve">Доходы по статье капитальный ремонт </t>
  </si>
  <si>
    <t>2.5. Договор с ОАО "Газпромраспределение" (обслуживание наружного газопровода)</t>
  </si>
  <si>
    <t>2.1. Договор с ЧП "Гришенков С.Н"(обслуживание общего имущ.  всего дома, оплата дворника,уборщицы,электрика,аварийные работы, обслуживание ворот)</t>
  </si>
  <si>
    <t>Расходы по статье капитальный ремонт (электрощитова,подвал 3  секции)</t>
  </si>
  <si>
    <t xml:space="preserve">Поступления от собственников в 2022г. за содержание общего имущества и содержание лифта дома </t>
  </si>
  <si>
    <t>Поступления по договорам от организаций всего: в 2022 г.</t>
  </si>
  <si>
    <t>Регион 40</t>
  </si>
  <si>
    <t>2.7.Приобретение необходимых материалов для содержания и ремонта дома и придомовой территории в 2022 г. ,</t>
  </si>
  <si>
    <t>Доходы по статье от платных  парковочных мест</t>
  </si>
  <si>
    <t>5.2.Содержание и обслуживание стоянки(видеокамера,шлагбаум,освещение)</t>
  </si>
  <si>
    <t>5.3.Обустройство дополнительной платной парковочной стоянки за оградой(приобретение материалов ,работы)</t>
  </si>
  <si>
    <t>5.4.Новогодние мероприятия</t>
  </si>
  <si>
    <t>5.Расходы от средств ,поступающих от платных парковочных мест</t>
  </si>
  <si>
    <t xml:space="preserve">1.6.Приобретение бумаги канц товаров </t>
  </si>
  <si>
    <t>4.5.Приобретение расходных материалов для лифтов, частичная замена облицовки.</t>
  </si>
  <si>
    <t>5.1.Приобретение и установка леерного ограждения на парковочной стоянке.Приобретение части оборудования  для субботника</t>
  </si>
  <si>
    <t>Всего за счет средство от платных парковочных мест</t>
  </si>
  <si>
    <t>Всего по статьям (п.1, 2, 3, 4,5)                                                             РАСХОДЫ</t>
  </si>
  <si>
    <t>СМЕТА ДОХОДОВ И РАСХОДОВ ТСЖ "Каскад" на 2022 год</t>
  </si>
  <si>
    <t>Доходы по статье содержание общего имущества янврь- май</t>
  </si>
  <si>
    <t>Доходы по статье содержание общего имущества июнь- декабрь</t>
  </si>
  <si>
    <t>Доходы по статье содержание и ремонт лифтов январь-май</t>
  </si>
  <si>
    <t>Доходы по статье содержание и ремонт лифтов июнь -декабрь</t>
  </si>
  <si>
    <t xml:space="preserve">Выпадающие доходы - оплата за неплательщиков  по холодной воде, за домофон. </t>
  </si>
  <si>
    <t>2.6.На аварийные работы, проверка дымоходов и вентканалов в течении года 2 раза (начало отопительного сезона и весной)</t>
  </si>
  <si>
    <t>5.5.Работы по замене и установке в квартирах 420 приборов учета холодной и горячей воды</t>
  </si>
  <si>
    <t>Дополнительные услуги Домофон (40 руб с кварт. м)</t>
  </si>
  <si>
    <t>3.1 Ремонт бардюров  тратуарной  плитки на дворовой территории,ремонт металлического ограждения на спортивной площадке,благоустройство территории за  домом,установка ограничителых столбиков, покраска скамеек,полусфер, части фасада,нанесение и обнавление разметок на парковочных местах, текущий ремон внутредомовых канализационых систем, обустройство ниш для резиновых покрытий,провести штукатурку с покраской входной части в каждом подъезде, провести реставрацию межтамбурных деревянных дверей в каждом подъезде  за счет денежных средств, собираемых на текущий ремонт.</t>
  </si>
  <si>
    <t>Бюджетный дефицит и  выпадающие доходы, будут уменьшеньшаться  за счет средств поступающих  от должников в том числе на основании решений судов.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</si>
</sst>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5" x14ac:knownFonts="1"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u/>
      <sz val="10"/>
      <name val="Arial Cyr"/>
      <family val="2"/>
      <charset val="204"/>
    </font>
    <font>
      <i/>
      <u/>
      <sz val="1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  <font>
      <u/>
      <sz val="10"/>
      <name val="Arial Cyr"/>
      <family val="2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vertical="top"/>
    </xf>
    <xf numFmtId="0" fontId="2" fillId="0" borderId="4" xfId="0" applyFont="1" applyBorder="1" applyAlignment="1">
      <alignment horizontal="center" wrapText="1"/>
    </xf>
    <xf numFmtId="4" fontId="2" fillId="0" borderId="5" xfId="0" applyNumberFormat="1" applyFont="1" applyBorder="1"/>
    <xf numFmtId="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/>
    <xf numFmtId="4" fontId="0" fillId="0" borderId="6" xfId="0" applyNumberFormat="1" applyBorder="1"/>
    <xf numFmtId="4" fontId="0" fillId="0" borderId="0" xfId="0" applyNumberFormat="1" applyBorder="1" applyAlignment="1">
      <alignment horizontal="center"/>
    </xf>
    <xf numFmtId="0" fontId="0" fillId="0" borderId="4" xfId="0" applyFont="1" applyBorder="1"/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4" xfId="0" applyFont="1" applyBorder="1" applyAlignment="1">
      <alignment wrapText="1"/>
    </xf>
    <xf numFmtId="4" fontId="4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wrapText="1"/>
    </xf>
    <xf numFmtId="4" fontId="2" fillId="0" borderId="5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 wrapText="1"/>
    </xf>
    <xf numFmtId="4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right"/>
    </xf>
    <xf numFmtId="4" fontId="0" fillId="0" borderId="5" xfId="0" applyNumberFormat="1" applyBorder="1"/>
    <xf numFmtId="0" fontId="2" fillId="0" borderId="4" xfId="0" applyFont="1" applyBorder="1" applyAlignment="1">
      <alignment horizontal="left" vertical="center"/>
    </xf>
    <xf numFmtId="4" fontId="0" fillId="0" borderId="5" xfId="0" applyNumberFormat="1" applyFont="1" applyBorder="1"/>
    <xf numFmtId="4" fontId="2" fillId="0" borderId="6" xfId="0" applyNumberFormat="1" applyFont="1" applyBorder="1" applyAlignment="1">
      <alignment horizont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horizontal="center"/>
    </xf>
    <xf numFmtId="0" fontId="8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4" xfId="0" applyFont="1" applyBorder="1" applyAlignment="1">
      <alignment wrapText="1"/>
    </xf>
    <xf numFmtId="4" fontId="6" fillId="0" borderId="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4" fontId="0" fillId="0" borderId="5" xfId="0" applyNumberFormat="1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6" fillId="0" borderId="8" xfId="0" applyFont="1" applyBorder="1" applyAlignment="1">
      <alignment wrapText="1"/>
    </xf>
    <xf numFmtId="4" fontId="9" fillId="0" borderId="9" xfId="0" applyNumberFormat="1" applyFont="1" applyBorder="1"/>
    <xf numFmtId="4" fontId="9" fillId="0" borderId="9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10" fillId="0" borderId="5" xfId="0" applyFont="1" applyBorder="1"/>
    <xf numFmtId="4" fontId="9" fillId="0" borderId="5" xfId="0" applyNumberFormat="1" applyFont="1" applyBorder="1"/>
    <xf numFmtId="49" fontId="0" fillId="0" borderId="5" xfId="0" applyNumberFormat="1" applyFont="1" applyBorder="1" applyAlignment="1">
      <alignment wrapText="1"/>
    </xf>
    <xf numFmtId="164" fontId="0" fillId="0" borderId="4" xfId="0" applyNumberFormat="1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4" fontId="1" fillId="0" borderId="5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wrapText="1"/>
    </xf>
    <xf numFmtId="4" fontId="2" fillId="0" borderId="12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0" fillId="0" borderId="0" xfId="0" applyFont="1"/>
    <xf numFmtId="4" fontId="14" fillId="0" borderId="5" xfId="0" applyNumberFormat="1" applyFont="1" applyBorder="1"/>
    <xf numFmtId="4" fontId="13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/>
    <xf numFmtId="4" fontId="14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wrapText="1"/>
    </xf>
    <xf numFmtId="0" fontId="0" fillId="0" borderId="8" xfId="0" applyFont="1" applyBorder="1" applyAlignment="1">
      <alignment horizontal="left" wrapText="1"/>
    </xf>
    <xf numFmtId="4" fontId="0" fillId="0" borderId="9" xfId="0" applyNumberFormat="1" applyFont="1" applyBorder="1" applyAlignment="1">
      <alignment horizontal="left" wrapText="1"/>
    </xf>
    <xf numFmtId="4" fontId="0" fillId="0" borderId="9" xfId="0" applyNumberFormat="1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71"/>
  <sheetViews>
    <sheetView topLeftCell="A7" zoomScale="95" zoomScaleNormal="95" workbookViewId="0">
      <selection activeCell="G19" sqref="G19"/>
    </sheetView>
  </sheetViews>
  <sheetFormatPr defaultRowHeight="12.75" x14ac:dyDescent="0.2"/>
  <cols>
    <col min="1" max="1" width="66.85546875"/>
    <col min="2" max="4" width="16.5703125"/>
    <col min="5" max="5" width="11"/>
    <col min="6" max="6" width="9.28515625"/>
    <col min="7" max="7" width="21.28515625"/>
    <col min="8" max="1025" width="8.42578125"/>
  </cols>
  <sheetData>
    <row r="5" ht="36" customHeight="1" x14ac:dyDescent="0.2"/>
    <row r="6" ht="30.75" customHeight="1" x14ac:dyDescent="0.2"/>
    <row r="7" ht="20.100000000000001" customHeight="1" x14ac:dyDescent="0.2"/>
    <row r="8" ht="20.100000000000001" customHeight="1" x14ac:dyDescent="0.2"/>
    <row r="9" ht="20.100000000000001" customHeight="1" x14ac:dyDescent="0.2"/>
    <row r="10" ht="20.100000000000001" customHeight="1" x14ac:dyDescent="0.2"/>
    <row r="11" ht="20.100000000000001" customHeight="1" x14ac:dyDescent="0.2"/>
    <row r="12" ht="20.100000000000001" customHeight="1" x14ac:dyDescent="0.2"/>
    <row r="13" ht="20.100000000000001" customHeight="1" x14ac:dyDescent="0.2"/>
    <row r="14" ht="20.100000000000001" customHeight="1" x14ac:dyDescent="0.2"/>
    <row r="15" ht="20.100000000000001" customHeight="1" x14ac:dyDescent="0.2"/>
    <row r="16" ht="20.100000000000001" customHeight="1" x14ac:dyDescent="0.2"/>
    <row r="17" ht="20.100000000000001" customHeight="1" x14ac:dyDescent="0.2"/>
    <row r="18" ht="38.25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7" customHeight="1" x14ac:dyDescent="0.2"/>
    <row r="40" ht="20.100000000000001" customHeight="1" x14ac:dyDescent="0.2"/>
    <row r="41" ht="27" customHeight="1" x14ac:dyDescent="0.2"/>
    <row r="42" ht="20.100000000000001" customHeight="1" x14ac:dyDescent="0.2"/>
    <row r="43" ht="20.100000000000001" customHeight="1" x14ac:dyDescent="0.2"/>
    <row r="44" ht="27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7" customHeight="1" x14ac:dyDescent="0.2"/>
    <row r="53" ht="20.100000000000001" customHeight="1" x14ac:dyDescent="0.2"/>
    <row r="54" ht="27" customHeight="1" x14ac:dyDescent="0.2"/>
    <row r="55" ht="20.100000000000001" customHeight="1" x14ac:dyDescent="0.2"/>
    <row r="56" ht="30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30.75" customHeight="1" x14ac:dyDescent="0.2"/>
    <row r="65" ht="45.75" customHeight="1" x14ac:dyDescent="0.2"/>
    <row r="66" ht="20.100000000000001" customHeight="1" x14ac:dyDescent="0.2"/>
    <row r="67" ht="20.100000000000001" customHeight="1" x14ac:dyDescent="0.2"/>
    <row r="68" ht="26.1" customHeight="1" x14ac:dyDescent="0.2"/>
    <row r="69" ht="26.1" customHeight="1" x14ac:dyDescent="0.2"/>
    <row r="70" ht="26.1" customHeight="1" x14ac:dyDescent="0.2"/>
    <row r="71" ht="61.5" customHeight="1" x14ac:dyDescent="0.2"/>
  </sheetData>
  <pageMargins left="0.64027777777777795" right="0.4" top="0.22986111111111099" bottom="0.29027777777777802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A69"/>
  <sheetViews>
    <sheetView zoomScale="95" zoomScaleNormal="95" workbookViewId="0"/>
  </sheetViews>
  <sheetFormatPr defaultRowHeight="12.75" x14ac:dyDescent="0.2"/>
  <cols>
    <col min="1" max="1025" width="8.42578125"/>
  </cols>
  <sheetData>
    <row r="17" ht="39.950000000000003" customHeight="1" x14ac:dyDescent="0.2"/>
    <row r="69" ht="38.1" customHeight="1" x14ac:dyDescent="0.2"/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topLeftCell="A49" zoomScale="95" zoomScaleNormal="95" workbookViewId="0">
      <selection activeCell="F66" sqref="F66"/>
    </sheetView>
  </sheetViews>
  <sheetFormatPr defaultRowHeight="12.75" x14ac:dyDescent="0.2"/>
  <cols>
    <col min="1" max="1" width="68"/>
    <col min="2" max="2" width="10.42578125" style="1"/>
    <col min="3" max="3" width="15.7109375" style="1"/>
    <col min="4" max="4" width="18.140625" style="1"/>
    <col min="5" max="5" width="16.7109375" style="1"/>
    <col min="6" max="6" width="11.140625"/>
    <col min="7" max="7" width="17.140625"/>
    <col min="8" max="8" width="71"/>
    <col min="9" max="11" width="8.42578125"/>
    <col min="12" max="12" width="17.85546875"/>
    <col min="13" max="1025" width="8.42578125"/>
  </cols>
  <sheetData>
    <row r="1" spans="1:9" x14ac:dyDescent="0.2">
      <c r="A1" s="83" t="s">
        <v>0</v>
      </c>
      <c r="B1" s="83"/>
      <c r="C1" s="83"/>
      <c r="D1" s="83"/>
      <c r="E1" s="83"/>
    </row>
    <row r="3" spans="1:9" ht="15.75" x14ac:dyDescent="0.25">
      <c r="A3" s="84" t="s">
        <v>61</v>
      </c>
      <c r="B3" s="84"/>
      <c r="C3" s="84"/>
      <c r="D3" s="84"/>
      <c r="E3" s="84"/>
    </row>
    <row r="5" spans="1:9" ht="24.95" customHeight="1" x14ac:dyDescent="0.2">
      <c r="A5" s="2" t="s">
        <v>1</v>
      </c>
      <c r="B5" s="3" t="s">
        <v>2</v>
      </c>
      <c r="C5" s="3" t="s">
        <v>3</v>
      </c>
      <c r="D5" s="3" t="s">
        <v>4</v>
      </c>
      <c r="E5" s="4" t="s">
        <v>5</v>
      </c>
      <c r="I5" s="5"/>
    </row>
    <row r="6" spans="1:9" ht="25.5" x14ac:dyDescent="0.2">
      <c r="A6" s="6" t="s">
        <v>47</v>
      </c>
      <c r="B6" s="7"/>
      <c r="C6" s="7"/>
      <c r="D6" s="7"/>
      <c r="E6" s="8"/>
    </row>
    <row r="7" spans="1:9" x14ac:dyDescent="0.2">
      <c r="A7" s="9" t="s">
        <v>48</v>
      </c>
      <c r="B7" s="7"/>
      <c r="C7" s="7"/>
      <c r="D7" s="7"/>
      <c r="E7" s="10"/>
      <c r="F7" s="11"/>
    </row>
    <row r="8" spans="1:9" x14ac:dyDescent="0.2">
      <c r="A8" s="12" t="s">
        <v>6</v>
      </c>
      <c r="B8" s="13">
        <v>1000</v>
      </c>
      <c r="C8" s="13">
        <v>1000</v>
      </c>
      <c r="D8" s="13">
        <f t="shared" ref="D8:D17" si="0">C8*12</f>
        <v>12000</v>
      </c>
      <c r="E8" s="14">
        <f>IF(C8=0,D8/12/$B$22,C8/$B$22)</f>
        <v>7.8647885551596949E-2</v>
      </c>
      <c r="F8" s="11"/>
      <c r="G8" s="1"/>
    </row>
    <row r="9" spans="1:9" x14ac:dyDescent="0.2">
      <c r="A9" s="12" t="s">
        <v>7</v>
      </c>
      <c r="B9" s="13">
        <v>1000</v>
      </c>
      <c r="C9" s="13">
        <v>1000</v>
      </c>
      <c r="D9" s="13">
        <f t="shared" si="0"/>
        <v>12000</v>
      </c>
      <c r="E9" s="14">
        <f>IF(C9=0,D9/12/$B$22,C9/$B$22)</f>
        <v>7.8647885551596949E-2</v>
      </c>
      <c r="F9" s="11"/>
      <c r="G9" s="1"/>
    </row>
    <row r="10" spans="1:9" ht="25.5" x14ac:dyDescent="0.2">
      <c r="A10" s="15" t="s">
        <v>8</v>
      </c>
      <c r="B10" s="13">
        <v>250</v>
      </c>
      <c r="C10" s="13">
        <v>250</v>
      </c>
      <c r="D10" s="13">
        <f t="shared" si="0"/>
        <v>3000</v>
      </c>
      <c r="E10" s="14">
        <f>IF(C10=0,D10/12/$B$22,C10/$B$22)</f>
        <v>1.9661971387899237E-2</v>
      </c>
      <c r="F10" s="11"/>
      <c r="G10" s="1"/>
    </row>
    <row r="11" spans="1:9" x14ac:dyDescent="0.2">
      <c r="A11" s="15" t="s">
        <v>49</v>
      </c>
      <c r="B11" s="13">
        <v>2000</v>
      </c>
      <c r="C11" s="13">
        <v>2000</v>
      </c>
      <c r="D11" s="13">
        <v>24000</v>
      </c>
      <c r="E11" s="14"/>
      <c r="F11" s="11"/>
      <c r="G11" s="1"/>
    </row>
    <row r="12" spans="1:9" x14ac:dyDescent="0.2">
      <c r="A12" s="12" t="s">
        <v>62</v>
      </c>
      <c r="B12" s="13">
        <v>16.05</v>
      </c>
      <c r="C12" s="13">
        <f>B12*$B$22</f>
        <v>204074.14499999999</v>
      </c>
      <c r="D12" s="13">
        <f>C12*5</f>
        <v>1020370.725</v>
      </c>
      <c r="E12" s="14">
        <f t="shared" ref="E12:E17" si="1">IF(C12=0,D12/12/$B$22,C12/$B$22)</f>
        <v>16.05</v>
      </c>
      <c r="F12" s="11"/>
      <c r="G12" s="1"/>
    </row>
    <row r="13" spans="1:9" x14ac:dyDescent="0.2">
      <c r="A13" s="12" t="s">
        <v>63</v>
      </c>
      <c r="B13" s="16">
        <v>17.579999999999998</v>
      </c>
      <c r="C13" s="13">
        <f>B13*$B$22</f>
        <v>223527.94199999998</v>
      </c>
      <c r="D13" s="13">
        <f>C13*7</f>
        <v>1564695.5939999998</v>
      </c>
      <c r="E13" s="14">
        <f t="shared" si="1"/>
        <v>17.579999999999998</v>
      </c>
      <c r="F13" s="11"/>
      <c r="G13" s="1"/>
    </row>
    <row r="14" spans="1:9" x14ac:dyDescent="0.2">
      <c r="A14" s="12" t="s">
        <v>64</v>
      </c>
      <c r="B14" s="16">
        <v>3.46</v>
      </c>
      <c r="C14" s="18">
        <f>B14*$B$22</f>
        <v>43993.553999999996</v>
      </c>
      <c r="D14" s="18">
        <f>C14*7</f>
        <v>307954.87799999997</v>
      </c>
      <c r="E14" s="14">
        <f t="shared" si="1"/>
        <v>3.46</v>
      </c>
      <c r="F14" s="11"/>
      <c r="G14" s="1"/>
    </row>
    <row r="15" spans="1:9" x14ac:dyDescent="0.2">
      <c r="A15" s="12" t="s">
        <v>65</v>
      </c>
      <c r="B15" s="17">
        <v>3.59</v>
      </c>
      <c r="C15" s="18">
        <f>B15*$B$22</f>
        <v>45646.490999999995</v>
      </c>
      <c r="D15" s="18">
        <f>C15*5</f>
        <v>228232.45499999996</v>
      </c>
      <c r="E15" s="14">
        <f t="shared" si="1"/>
        <v>3.59</v>
      </c>
      <c r="F15" s="11"/>
      <c r="G15" s="1"/>
    </row>
    <row r="16" spans="1:9" x14ac:dyDescent="0.2">
      <c r="A16" s="12" t="s">
        <v>69</v>
      </c>
      <c r="B16" s="17">
        <v>40</v>
      </c>
      <c r="C16" s="18">
        <f>B16*221</f>
        <v>8840</v>
      </c>
      <c r="D16" s="18">
        <f t="shared" si="0"/>
        <v>106080</v>
      </c>
      <c r="E16" s="14">
        <f t="shared" si="1"/>
        <v>0.69524730827611703</v>
      </c>
      <c r="F16" s="11"/>
      <c r="G16" s="1"/>
    </row>
    <row r="17" spans="1:7" x14ac:dyDescent="0.2">
      <c r="A17" s="12" t="s">
        <v>9</v>
      </c>
      <c r="B17" s="19">
        <v>3.2</v>
      </c>
      <c r="C17" s="18">
        <f>B17*$B$22</f>
        <v>40687.68</v>
      </c>
      <c r="D17" s="18">
        <f t="shared" si="0"/>
        <v>488252.16000000003</v>
      </c>
      <c r="E17" s="14">
        <f t="shared" si="1"/>
        <v>3.2</v>
      </c>
      <c r="F17" s="11"/>
      <c r="G17" s="1"/>
    </row>
    <row r="18" spans="1:7" x14ac:dyDescent="0.2">
      <c r="A18" s="12" t="s">
        <v>51</v>
      </c>
      <c r="B18" s="76"/>
      <c r="C18" s="18">
        <v>14400</v>
      </c>
      <c r="D18" s="18">
        <v>288000</v>
      </c>
      <c r="E18" s="14"/>
      <c r="F18" s="11"/>
      <c r="G18" s="1"/>
    </row>
    <row r="19" spans="1:7" x14ac:dyDescent="0.2">
      <c r="A19" s="9" t="s">
        <v>10</v>
      </c>
      <c r="B19" s="20"/>
      <c r="C19" s="21">
        <f>SUM(C8:C11)+(C13*7+C12*5)/12+(C14*5+C15*7)/12+SUM(C16:C18)</f>
        <v>328557.64049999998</v>
      </c>
      <c r="D19" s="21">
        <f>SUM(D8:D18)</f>
        <v>4054585.8120000004</v>
      </c>
      <c r="E19" s="21">
        <f>SUM(E8:E11)+(E13*7+E12*5)/12+(E14*5+E15*7)/12+SUM(E16:E18)</f>
        <v>24.550538384100541</v>
      </c>
      <c r="F19" s="11"/>
      <c r="G19" s="1"/>
    </row>
    <row r="20" spans="1:7" ht="25.5" x14ac:dyDescent="0.2">
      <c r="A20" s="22" t="s">
        <v>66</v>
      </c>
      <c r="B20" s="23"/>
      <c r="C20" s="24">
        <v>6000</v>
      </c>
      <c r="D20" s="24">
        <f>C20*12</f>
        <v>72000</v>
      </c>
      <c r="E20" s="25">
        <f>C20/$B$22</f>
        <v>0.47188731330958167</v>
      </c>
      <c r="F20" s="11"/>
      <c r="G20" s="1"/>
    </row>
    <row r="21" spans="1:7" ht="24.95" customHeight="1" x14ac:dyDescent="0.2">
      <c r="A21" s="26" t="s">
        <v>11</v>
      </c>
      <c r="B21" s="27"/>
      <c r="C21" s="21" t="s">
        <v>3</v>
      </c>
      <c r="D21" s="21" t="s">
        <v>4</v>
      </c>
      <c r="E21" s="28" t="s">
        <v>5</v>
      </c>
      <c r="F21" s="11"/>
      <c r="G21" s="1"/>
    </row>
    <row r="22" spans="1:7" x14ac:dyDescent="0.2">
      <c r="A22" s="29" t="s">
        <v>12</v>
      </c>
      <c r="B22" s="23">
        <v>12714.9</v>
      </c>
      <c r="C22" s="30"/>
      <c r="D22" s="30"/>
      <c r="E22" s="10"/>
      <c r="F22" s="11"/>
      <c r="G22" s="1"/>
    </row>
    <row r="23" spans="1:7" x14ac:dyDescent="0.2">
      <c r="A23" s="31" t="s">
        <v>13</v>
      </c>
      <c r="B23" s="32"/>
      <c r="C23" s="32"/>
      <c r="D23" s="32"/>
      <c r="E23" s="33"/>
      <c r="F23" s="11"/>
      <c r="G23" s="1"/>
    </row>
    <row r="24" spans="1:7" x14ac:dyDescent="0.2">
      <c r="A24" s="12" t="s">
        <v>14</v>
      </c>
      <c r="B24" s="34" t="s">
        <v>15</v>
      </c>
      <c r="C24" s="18">
        <v>30000</v>
      </c>
      <c r="D24" s="18">
        <f t="shared" ref="D24:D31" si="2">C24*12</f>
        <v>360000</v>
      </c>
      <c r="E24" s="35">
        <f t="shared" ref="E24:E31" si="3">IF(C24=0,D24/12/$B$22,C24/$B$22)</f>
        <v>2.3594365665479082</v>
      </c>
      <c r="F24" s="11"/>
      <c r="G24" s="1"/>
    </row>
    <row r="25" spans="1:7" x14ac:dyDescent="0.2">
      <c r="A25" s="12" t="s">
        <v>16</v>
      </c>
      <c r="B25" s="34" t="s">
        <v>15</v>
      </c>
      <c r="C25" s="18">
        <f>C24*30.2/100</f>
        <v>9060</v>
      </c>
      <c r="D25" s="18">
        <f t="shared" si="2"/>
        <v>108720</v>
      </c>
      <c r="E25" s="35">
        <f t="shared" si="3"/>
        <v>0.71254984309746838</v>
      </c>
      <c r="F25" s="11"/>
      <c r="G25" s="1"/>
    </row>
    <row r="26" spans="1:7" x14ac:dyDescent="0.2">
      <c r="A26" s="12" t="s">
        <v>17</v>
      </c>
      <c r="B26" s="34" t="s">
        <v>15</v>
      </c>
      <c r="C26" s="18">
        <v>15000</v>
      </c>
      <c r="D26" s="18">
        <f t="shared" si="2"/>
        <v>180000</v>
      </c>
      <c r="E26" s="35">
        <f>IF(C26=0,D26/12/$B$22,C26/$B$22)</f>
        <v>1.1797182832739541</v>
      </c>
      <c r="F26" s="11"/>
      <c r="G26" s="1"/>
    </row>
    <row r="27" spans="1:7" x14ac:dyDescent="0.2">
      <c r="A27" s="12" t="s">
        <v>18</v>
      </c>
      <c r="B27" s="34" t="s">
        <v>15</v>
      </c>
      <c r="C27" s="18">
        <f>C26*30.2/100</f>
        <v>4530</v>
      </c>
      <c r="D27" s="18">
        <f t="shared" si="2"/>
        <v>54360</v>
      </c>
      <c r="E27" s="35">
        <f t="shared" si="3"/>
        <v>0.35627492154873419</v>
      </c>
      <c r="F27" s="11"/>
      <c r="G27" s="1"/>
    </row>
    <row r="28" spans="1:7" s="36" customFormat="1" x14ac:dyDescent="0.2">
      <c r="A28" s="12" t="s">
        <v>36</v>
      </c>
      <c r="B28" s="34"/>
      <c r="C28" s="18">
        <v>150</v>
      </c>
      <c r="D28" s="18">
        <f t="shared" si="2"/>
        <v>1800</v>
      </c>
      <c r="E28" s="35">
        <f t="shared" si="3"/>
        <v>1.1797182832739542E-2</v>
      </c>
      <c r="F28" s="11"/>
      <c r="G28" s="1"/>
    </row>
    <row r="29" spans="1:7" s="39" customFormat="1" x14ac:dyDescent="0.2">
      <c r="A29" s="15" t="s">
        <v>56</v>
      </c>
      <c r="B29" s="37"/>
      <c r="C29" s="38">
        <v>200</v>
      </c>
      <c r="D29" s="38">
        <f>C29*12</f>
        <v>2400</v>
      </c>
      <c r="E29" s="35">
        <f t="shared" si="3"/>
        <v>1.5729577110319391E-2</v>
      </c>
      <c r="F29" s="11"/>
      <c r="G29" s="1"/>
    </row>
    <row r="30" spans="1:7" x14ac:dyDescent="0.2">
      <c r="A30" s="15" t="s">
        <v>19</v>
      </c>
      <c r="B30" s="34"/>
      <c r="C30" s="18">
        <v>900</v>
      </c>
      <c r="D30" s="18">
        <f t="shared" si="2"/>
        <v>10800</v>
      </c>
      <c r="E30" s="35">
        <f t="shared" si="3"/>
        <v>7.0783096996437256E-2</v>
      </c>
      <c r="F30" s="11"/>
      <c r="G30" s="1"/>
    </row>
    <row r="31" spans="1:7" x14ac:dyDescent="0.2">
      <c r="A31" s="15" t="s">
        <v>20</v>
      </c>
      <c r="B31" s="34"/>
      <c r="C31" s="18">
        <v>3000</v>
      </c>
      <c r="D31" s="18">
        <f t="shared" si="2"/>
        <v>36000</v>
      </c>
      <c r="E31" s="35">
        <f t="shared" si="3"/>
        <v>0.23594365665479083</v>
      </c>
      <c r="F31" s="11"/>
      <c r="G31" s="1"/>
    </row>
    <row r="32" spans="1:7" s="44" customFormat="1" x14ac:dyDescent="0.2">
      <c r="A32" s="40" t="s">
        <v>21</v>
      </c>
      <c r="B32" s="41"/>
      <c r="C32" s="42">
        <f>SUM(C24:C31)</f>
        <v>62840</v>
      </c>
      <c r="D32" s="42">
        <f>SUM(D24:D31)</f>
        <v>754080</v>
      </c>
      <c r="E32" s="43">
        <f>SUM(E24:E31)</f>
        <v>4.9422331280623517</v>
      </c>
      <c r="F32" s="11"/>
      <c r="G32" s="1"/>
    </row>
    <row r="33" spans="1:7" x14ac:dyDescent="0.2">
      <c r="A33" s="45" t="s">
        <v>22</v>
      </c>
      <c r="B33" s="34"/>
      <c r="C33" s="32"/>
      <c r="D33" s="32"/>
      <c r="E33" s="35">
        <f t="shared" ref="E33:E38" si="4">IF(C33=0,D33/12/$B$22,C33/$B$22)</f>
        <v>0</v>
      </c>
      <c r="F33" s="11"/>
      <c r="G33" s="1"/>
    </row>
    <row r="34" spans="1:7" ht="38.25" x14ac:dyDescent="0.2">
      <c r="A34" s="15" t="s">
        <v>45</v>
      </c>
      <c r="B34" s="34" t="s">
        <v>15</v>
      </c>
      <c r="C34" s="18">
        <v>117927.72</v>
      </c>
      <c r="D34" s="18">
        <f>C34*12</f>
        <v>1415132.6400000001</v>
      </c>
      <c r="E34" s="35">
        <f t="shared" si="4"/>
        <v>9.2747658259207704</v>
      </c>
      <c r="F34" s="11"/>
      <c r="G34" s="1"/>
    </row>
    <row r="35" spans="1:7" x14ac:dyDescent="0.2">
      <c r="A35" s="12" t="s">
        <v>23</v>
      </c>
      <c r="B35" s="34" t="s">
        <v>15</v>
      </c>
      <c r="C35" s="18">
        <f t="shared" ref="C35:C38" si="5">D35/12</f>
        <v>1666.6666666666667</v>
      </c>
      <c r="D35" s="18">
        <v>20000</v>
      </c>
      <c r="E35" s="35">
        <f t="shared" si="4"/>
        <v>0.13107980925266158</v>
      </c>
      <c r="F35" s="11"/>
      <c r="G35" s="1"/>
    </row>
    <row r="36" spans="1:7" x14ac:dyDescent="0.2">
      <c r="A36" s="12" t="s">
        <v>24</v>
      </c>
      <c r="B36" s="34" t="s">
        <v>15</v>
      </c>
      <c r="C36" s="18">
        <f t="shared" si="5"/>
        <v>6757.6430200000004</v>
      </c>
      <c r="D36" s="18">
        <f>D19*0.02</f>
        <v>81091.716240000009</v>
      </c>
      <c r="E36" s="35">
        <f t="shared" si="4"/>
        <v>0.53147433483550799</v>
      </c>
      <c r="F36" s="11"/>
      <c r="G36" s="1"/>
    </row>
    <row r="37" spans="1:7" x14ac:dyDescent="0.2">
      <c r="A37" s="12" t="s">
        <v>25</v>
      </c>
      <c r="B37" s="34" t="s">
        <v>15</v>
      </c>
      <c r="C37" s="18">
        <f t="shared" si="5"/>
        <v>120</v>
      </c>
      <c r="D37" s="18">
        <f>(D9+D8)*0.06</f>
        <v>1440</v>
      </c>
      <c r="E37" s="35">
        <f t="shared" si="4"/>
        <v>9.4377462661916333E-3</v>
      </c>
      <c r="F37" s="11"/>
      <c r="G37" s="1"/>
    </row>
    <row r="38" spans="1:7" ht="25.5" x14ac:dyDescent="0.2">
      <c r="A38" s="15" t="s">
        <v>44</v>
      </c>
      <c r="B38" s="34" t="s">
        <v>15</v>
      </c>
      <c r="C38" s="38">
        <f t="shared" si="5"/>
        <v>1883.9241666666667</v>
      </c>
      <c r="D38" s="18">
        <v>22607.09</v>
      </c>
      <c r="E38" s="35">
        <f t="shared" si="4"/>
        <v>0.14816665224788766</v>
      </c>
      <c r="F38" s="11"/>
      <c r="G38" s="1"/>
    </row>
    <row r="39" spans="1:7" ht="25.5" x14ac:dyDescent="0.2">
      <c r="A39" s="15" t="s">
        <v>67</v>
      </c>
      <c r="B39" s="34"/>
      <c r="C39" s="18">
        <f>D39/12</f>
        <v>2083.3333333333335</v>
      </c>
      <c r="D39" s="18">
        <v>25000</v>
      </c>
      <c r="E39" s="35">
        <f>C39/B22</f>
        <v>0.16384976156582698</v>
      </c>
      <c r="F39" s="11"/>
      <c r="G39" s="1"/>
    </row>
    <row r="40" spans="1:7" ht="25.5" x14ac:dyDescent="0.2">
      <c r="A40" s="15" t="s">
        <v>50</v>
      </c>
      <c r="B40" s="34"/>
      <c r="C40" s="18">
        <f>D40/12</f>
        <v>8666.6666666666661</v>
      </c>
      <c r="D40" s="18">
        <v>104000</v>
      </c>
      <c r="E40" s="35">
        <f>C40/B22</f>
        <v>0.68161500811384013</v>
      </c>
      <c r="F40" s="11"/>
      <c r="G40" s="1"/>
    </row>
    <row r="41" spans="1:7" x14ac:dyDescent="0.2">
      <c r="A41" s="46" t="s">
        <v>40</v>
      </c>
      <c r="B41" s="47"/>
      <c r="C41" s="18">
        <f>D41/12</f>
        <v>3750</v>
      </c>
      <c r="D41" s="18">
        <v>45000</v>
      </c>
      <c r="E41" s="35">
        <f>IF(C41=0,D41/12/$B$22,C41/$B$22)</f>
        <v>0.29492957081848853</v>
      </c>
      <c r="F41" s="11"/>
      <c r="G41" s="11"/>
    </row>
    <row r="42" spans="1:7" ht="38.25" x14ac:dyDescent="0.2">
      <c r="A42" s="48" t="s">
        <v>41</v>
      </c>
      <c r="B42" s="47"/>
      <c r="C42" s="18">
        <v>17860</v>
      </c>
      <c r="D42" s="18">
        <f>C42*12</f>
        <v>214320</v>
      </c>
      <c r="E42" s="35">
        <f>IF(C42=0,D42/12/$B$22,C42/$B$22)</f>
        <v>1.4046512359515215</v>
      </c>
      <c r="F42" s="11"/>
      <c r="G42" s="11"/>
    </row>
    <row r="43" spans="1:7" x14ac:dyDescent="0.2">
      <c r="A43" s="79"/>
      <c r="B43" s="80"/>
      <c r="C43" s="81"/>
      <c r="D43" s="81"/>
      <c r="E43" s="82"/>
      <c r="F43" s="11"/>
      <c r="G43" s="11"/>
    </row>
    <row r="44" spans="1:7" s="44" customFormat="1" x14ac:dyDescent="0.2">
      <c r="A44" s="49" t="s">
        <v>26</v>
      </c>
      <c r="B44" s="50"/>
      <c r="C44" s="51">
        <f>SUM(C34:C42)</f>
        <v>160715.95385333334</v>
      </c>
      <c r="D44" s="51">
        <f>SUM(D34:D43)</f>
        <v>1928591.4462400002</v>
      </c>
      <c r="E44" s="52">
        <f>SUM(E34:E42)</f>
        <v>12.639969944972696</v>
      </c>
      <c r="F44" s="11"/>
      <c r="G44" s="11"/>
    </row>
    <row r="45" spans="1:7" x14ac:dyDescent="0.2">
      <c r="A45" s="53" t="s">
        <v>27</v>
      </c>
      <c r="B45" s="54"/>
      <c r="C45" s="42"/>
      <c r="D45" s="42"/>
      <c r="E45" s="42"/>
      <c r="F45" s="11"/>
      <c r="G45" s="11"/>
    </row>
    <row r="46" spans="1:7" ht="114.75" x14ac:dyDescent="0.2">
      <c r="A46" s="55" t="s">
        <v>70</v>
      </c>
      <c r="B46" s="54"/>
      <c r="C46" s="18">
        <f>D46/12</f>
        <v>40700</v>
      </c>
      <c r="D46" s="18">
        <v>488400</v>
      </c>
      <c r="E46" s="14">
        <f>IF(C46=0,D46/12/$B$22,C46/$B$22)</f>
        <v>3.2009689419499958</v>
      </c>
      <c r="F46" s="11"/>
      <c r="G46" s="11"/>
    </row>
    <row r="47" spans="1:7" x14ac:dyDescent="0.2">
      <c r="A47" s="45" t="s">
        <v>28</v>
      </c>
      <c r="B47" s="32"/>
      <c r="C47" s="18"/>
      <c r="D47" s="18"/>
      <c r="E47" s="35"/>
      <c r="F47" s="11"/>
      <c r="G47" s="11"/>
    </row>
    <row r="48" spans="1:7" x14ac:dyDescent="0.2">
      <c r="A48" s="12" t="s">
        <v>29</v>
      </c>
      <c r="B48" s="34" t="s">
        <v>15</v>
      </c>
      <c r="C48" s="18">
        <v>26250.79</v>
      </c>
      <c r="D48" s="18">
        <f>C48*12</f>
        <v>315009.48</v>
      </c>
      <c r="E48" s="35">
        <f t="shared" ref="E48:E55" si="6">IF(C48=0,D48/12/$B$22,C48/$B$22)</f>
        <v>2.0645691275590057</v>
      </c>
      <c r="F48" s="11"/>
      <c r="G48" s="11"/>
    </row>
    <row r="49" spans="1:8" ht="25.5" x14ac:dyDescent="0.2">
      <c r="A49" s="15" t="s">
        <v>30</v>
      </c>
      <c r="B49" s="34" t="s">
        <v>15</v>
      </c>
      <c r="C49" s="18">
        <f t="shared" ref="C49:C55" si="7">D49/12</f>
        <v>2070</v>
      </c>
      <c r="D49" s="18">
        <v>24840</v>
      </c>
      <c r="E49" s="35">
        <f t="shared" si="6"/>
        <v>0.16280112309180569</v>
      </c>
      <c r="F49" s="11"/>
      <c r="G49" s="11"/>
    </row>
    <row r="50" spans="1:8" x14ac:dyDescent="0.2">
      <c r="A50" s="15" t="s">
        <v>31</v>
      </c>
      <c r="B50" s="34" t="s">
        <v>15</v>
      </c>
      <c r="C50" s="18">
        <f t="shared" si="7"/>
        <v>258.33333333333331</v>
      </c>
      <c r="D50" s="18">
        <v>3100</v>
      </c>
      <c r="E50" s="35">
        <f t="shared" si="6"/>
        <v>2.0317370434162544E-2</v>
      </c>
      <c r="F50" s="11"/>
      <c r="G50" s="11"/>
    </row>
    <row r="51" spans="1:8" ht="25.5" x14ac:dyDescent="0.2">
      <c r="A51" s="15" t="s">
        <v>42</v>
      </c>
      <c r="B51" s="34" t="s">
        <v>15</v>
      </c>
      <c r="C51" s="18">
        <f t="shared" si="7"/>
        <v>3333.3333333333335</v>
      </c>
      <c r="D51" s="18">
        <v>40000</v>
      </c>
      <c r="E51" s="35">
        <f t="shared" si="6"/>
        <v>0.26215961850532316</v>
      </c>
      <c r="F51" s="11"/>
      <c r="G51" s="11"/>
    </row>
    <row r="52" spans="1:8" ht="25.5" x14ac:dyDescent="0.2">
      <c r="A52" s="56" t="s">
        <v>57</v>
      </c>
      <c r="B52" s="7"/>
      <c r="C52" s="18">
        <f t="shared" si="7"/>
        <v>4546.666666666667</v>
      </c>
      <c r="D52" s="18">
        <v>54560</v>
      </c>
      <c r="E52" s="35">
        <f t="shared" si="6"/>
        <v>0.35758571964126079</v>
      </c>
      <c r="F52" s="11"/>
      <c r="G52" s="11"/>
    </row>
    <row r="53" spans="1:8" x14ac:dyDescent="0.2">
      <c r="A53" s="15" t="s">
        <v>32</v>
      </c>
      <c r="B53" s="7"/>
      <c r="C53" s="18">
        <f t="shared" si="7"/>
        <v>4133.333333333333</v>
      </c>
      <c r="D53" s="18">
        <v>49600</v>
      </c>
      <c r="E53" s="35">
        <f t="shared" si="6"/>
        <v>0.3250779269466007</v>
      </c>
      <c r="F53" s="11"/>
      <c r="G53" s="11"/>
    </row>
    <row r="54" spans="1:8" x14ac:dyDescent="0.2">
      <c r="A54" s="15" t="s">
        <v>39</v>
      </c>
      <c r="B54" s="7"/>
      <c r="C54" s="18">
        <f t="shared" si="7"/>
        <v>2500</v>
      </c>
      <c r="D54" s="18">
        <v>30000</v>
      </c>
      <c r="E54" s="35">
        <f t="shared" si="6"/>
        <v>0.19661971387899238</v>
      </c>
      <c r="F54" s="11"/>
      <c r="G54" s="11"/>
    </row>
    <row r="55" spans="1:8" x14ac:dyDescent="0.2">
      <c r="A55" s="15" t="s">
        <v>33</v>
      </c>
      <c r="B55" s="7"/>
      <c r="C55" s="18">
        <f t="shared" si="7"/>
        <v>2500</v>
      </c>
      <c r="D55" s="18">
        <v>30000</v>
      </c>
      <c r="E55" s="35">
        <f t="shared" si="6"/>
        <v>0.19661971387899238</v>
      </c>
      <c r="F55" s="11"/>
      <c r="G55" s="11"/>
    </row>
    <row r="56" spans="1:8" s="44" customFormat="1" x14ac:dyDescent="0.2">
      <c r="A56" s="40" t="s">
        <v>34</v>
      </c>
      <c r="B56" s="54"/>
      <c r="C56" s="21">
        <f>SUM(C48:C55)</f>
        <v>45592.456666666665</v>
      </c>
      <c r="D56" s="21">
        <f>SUM(D48:D55)</f>
        <v>547109.48</v>
      </c>
      <c r="E56" s="8">
        <f>SUM(E48:E55)</f>
        <v>3.5857503139361429</v>
      </c>
      <c r="F56" s="11"/>
      <c r="G56" s="11"/>
    </row>
    <row r="57" spans="1:8" s="44" customFormat="1" ht="25.5" x14ac:dyDescent="0.2">
      <c r="A57" s="57" t="s">
        <v>55</v>
      </c>
      <c r="B57" s="54"/>
      <c r="C57" s="21"/>
      <c r="D57" s="21"/>
      <c r="E57" s="77"/>
      <c r="F57" s="11"/>
      <c r="G57" s="11"/>
    </row>
    <row r="58" spans="1:8" s="44" customFormat="1" ht="25.5" x14ac:dyDescent="0.2">
      <c r="A58" s="78" t="s">
        <v>58</v>
      </c>
      <c r="B58" s="54"/>
      <c r="C58" s="21"/>
      <c r="D58" s="21">
        <v>58000</v>
      </c>
      <c r="E58" s="77"/>
      <c r="F58" s="11"/>
      <c r="G58" s="11"/>
    </row>
    <row r="59" spans="1:8" s="44" customFormat="1" ht="25.5" x14ac:dyDescent="0.2">
      <c r="A59" s="78" t="s">
        <v>52</v>
      </c>
      <c r="B59" s="54"/>
      <c r="C59" s="21"/>
      <c r="D59" s="21">
        <v>34000</v>
      </c>
      <c r="E59" s="77"/>
      <c r="F59" s="11"/>
      <c r="G59" s="11"/>
    </row>
    <row r="60" spans="1:8" s="44" customFormat="1" ht="25.5" x14ac:dyDescent="0.2">
      <c r="A60" s="78" t="s">
        <v>53</v>
      </c>
      <c r="B60" s="54"/>
      <c r="C60" s="21"/>
      <c r="D60" s="21">
        <v>88323</v>
      </c>
      <c r="E60" s="77"/>
      <c r="F60" s="11"/>
      <c r="G60" s="11"/>
    </row>
    <row r="61" spans="1:8" s="44" customFormat="1" x14ac:dyDescent="0.2">
      <c r="A61" s="78" t="s">
        <v>54</v>
      </c>
      <c r="B61" s="54"/>
      <c r="C61" s="21"/>
      <c r="D61" s="21">
        <v>24000</v>
      </c>
      <c r="E61" s="77"/>
      <c r="F61" s="11"/>
      <c r="G61" s="11"/>
    </row>
    <row r="62" spans="1:8" s="44" customFormat="1" ht="25.5" x14ac:dyDescent="0.2">
      <c r="A62" s="78" t="s">
        <v>68</v>
      </c>
      <c r="B62" s="54"/>
      <c r="C62" s="21"/>
      <c r="D62" s="21">
        <v>77000</v>
      </c>
      <c r="E62" s="77"/>
      <c r="F62" s="11"/>
      <c r="G62" s="11"/>
    </row>
    <row r="63" spans="1:8" s="44" customFormat="1" x14ac:dyDescent="0.2">
      <c r="A63" s="78" t="s">
        <v>59</v>
      </c>
      <c r="B63" s="54"/>
      <c r="C63" s="21"/>
      <c r="D63" s="21">
        <f>SUM(D58:D62)</f>
        <v>281323</v>
      </c>
      <c r="E63" s="77"/>
      <c r="F63" s="11"/>
      <c r="G63" s="11"/>
    </row>
    <row r="64" spans="1:8" ht="15.75" x14ac:dyDescent="0.2">
      <c r="A64" s="59" t="s">
        <v>60</v>
      </c>
      <c r="B64" s="60"/>
      <c r="C64" s="21"/>
      <c r="D64" s="21">
        <f>D56+D44+D32+D46+D63</f>
        <v>3999503.9262399999</v>
      </c>
      <c r="E64" s="21">
        <f>E56+E44+E32+E46</f>
        <v>24.368922328921187</v>
      </c>
      <c r="F64" s="11"/>
      <c r="G64" s="11"/>
      <c r="H64" s="1"/>
    </row>
    <row r="65" spans="1:7" ht="13.5" thickBot="1" x14ac:dyDescent="0.25">
      <c r="A65" s="61" t="s">
        <v>35</v>
      </c>
      <c r="B65" s="62"/>
      <c r="C65" s="63"/>
      <c r="D65" s="63">
        <f>D19-D64-D20</f>
        <v>-16918.114239999559</v>
      </c>
      <c r="E65" s="35"/>
      <c r="F65" s="11"/>
      <c r="G65" s="11"/>
    </row>
    <row r="66" spans="1:7" ht="39" thickBot="1" x14ac:dyDescent="0.25">
      <c r="A66" s="64" t="s">
        <v>71</v>
      </c>
      <c r="B66" s="62"/>
      <c r="C66" s="63"/>
      <c r="D66" s="63"/>
      <c r="E66" s="35"/>
      <c r="F66" s="11"/>
      <c r="G66" s="1"/>
    </row>
    <row r="68" spans="1:7" ht="14.25" customHeight="1" x14ac:dyDescent="0.2">
      <c r="A68" s="57" t="s">
        <v>37</v>
      </c>
      <c r="B68" s="30"/>
      <c r="C68" s="30"/>
      <c r="D68" s="30"/>
      <c r="E68" s="30"/>
    </row>
    <row r="69" spans="1:7" x14ac:dyDescent="0.2">
      <c r="A69" s="72" t="s">
        <v>43</v>
      </c>
      <c r="B69" s="73">
        <v>10.38</v>
      </c>
      <c r="C69" s="74">
        <f>B69*$B22</f>
        <v>131980.66200000001</v>
      </c>
      <c r="D69" s="74">
        <f>C69*12</f>
        <v>1583767.9440000001</v>
      </c>
      <c r="E69" s="75">
        <v>10.38</v>
      </c>
    </row>
    <row r="70" spans="1:7" s="68" customFormat="1" x14ac:dyDescent="0.2">
      <c r="A70" s="58" t="s">
        <v>46</v>
      </c>
      <c r="B70" s="69"/>
      <c r="C70" s="70">
        <f>D70/12</f>
        <v>24833.333333333332</v>
      </c>
      <c r="D70" s="70">
        <v>298000</v>
      </c>
      <c r="E70" s="71">
        <f>IF(C70=0,D70/12/$B$22,C70/$B$22)</f>
        <v>1.9530891578646574</v>
      </c>
      <c r="F70" s="67"/>
      <c r="G70" s="67"/>
    </row>
    <row r="71" spans="1:7" ht="13.5" thickBot="1" x14ac:dyDescent="0.25">
      <c r="A71" s="61" t="s">
        <v>38</v>
      </c>
      <c r="B71" s="30"/>
      <c r="C71" s="65"/>
      <c r="D71" s="65">
        <f t="shared" ref="D71" si="8">D69-D70</f>
        <v>1285767.9440000001</v>
      </c>
      <c r="E71" s="66"/>
    </row>
  </sheetData>
  <mergeCells count="2">
    <mergeCell ref="A1:E1"/>
    <mergeCell ref="A3:E3"/>
  </mergeCells>
  <pageMargins left="0.78749999999999998" right="0.39374999999999999" top="0.39374999999999999" bottom="0.39374999999999999" header="0.51180555555555496" footer="0.51180555555555496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>
      <selection activeCell="D32" sqref="D32"/>
    </sheetView>
  </sheetViews>
  <sheetFormatPr defaultRowHeight="12.75" x14ac:dyDescent="0.2"/>
  <sheetData/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Швецова Ольга Владимировна</dc:creator>
  <cp:lastModifiedBy>Vladimir</cp:lastModifiedBy>
  <cp:revision>1</cp:revision>
  <cp:lastPrinted>2020-03-20T16:45:41Z</cp:lastPrinted>
  <dcterms:created xsi:type="dcterms:W3CDTF">2020-03-13T08:40:55Z</dcterms:created>
  <dcterms:modified xsi:type="dcterms:W3CDTF">2022-04-20T18:11:26Z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