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СОбр 2021\МАТ собр\"/>
    </mc:Choice>
  </mc:AlternateContent>
  <bookViews>
    <workbookView xWindow="0" yWindow="0" windowWidth="15285" windowHeight="5850" tabRatio="500" activeTab="2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 iterateDelta="1E-4"/>
</workbook>
</file>

<file path=xl/calcChain.xml><?xml version="1.0" encoding="utf-8"?>
<calcChain xmlns="http://schemas.openxmlformats.org/spreadsheetml/2006/main">
  <c r="C13" i="3" l="1"/>
  <c r="D13" i="3"/>
  <c r="C12" i="3"/>
  <c r="E13" i="3" l="1"/>
  <c r="C57" i="3"/>
  <c r="D57" i="3" s="1"/>
  <c r="C58" i="3" l="1"/>
  <c r="C41" i="3"/>
  <c r="D38" i="3"/>
  <c r="C37" i="3"/>
  <c r="C36" i="3"/>
  <c r="C35" i="3"/>
  <c r="E58" i="3"/>
  <c r="D27" i="3"/>
  <c r="C59" i="3" l="1"/>
  <c r="D59" i="3"/>
  <c r="D25" i="3"/>
  <c r="E25" i="3"/>
  <c r="E59" i="3" l="1"/>
  <c r="C50" i="3"/>
  <c r="E50" i="3" s="1"/>
  <c r="C49" i="3"/>
  <c r="E49" i="3" s="1"/>
  <c r="C48" i="3"/>
  <c r="E48" i="3" s="1"/>
  <c r="C47" i="3"/>
  <c r="E47" i="3" s="1"/>
  <c r="C46" i="3"/>
  <c r="E46" i="3" s="1"/>
  <c r="C45" i="3"/>
  <c r="E45" i="3" s="1"/>
  <c r="C44" i="3"/>
  <c r="E43" i="3"/>
  <c r="D43" i="3"/>
  <c r="D51" i="3" s="1"/>
  <c r="E38" i="3"/>
  <c r="E37" i="3"/>
  <c r="E36" i="3"/>
  <c r="E35" i="3"/>
  <c r="C34" i="3"/>
  <c r="E34" i="3" s="1"/>
  <c r="C31" i="3"/>
  <c r="E31" i="3" s="1"/>
  <c r="E30" i="3"/>
  <c r="D30" i="3"/>
  <c r="E29" i="3"/>
  <c r="E27" i="3"/>
  <c r="E26" i="3"/>
  <c r="D26" i="3"/>
  <c r="E24" i="3"/>
  <c r="D24" i="3"/>
  <c r="C23" i="3"/>
  <c r="E23" i="3" s="1"/>
  <c r="E22" i="3"/>
  <c r="D22" i="3"/>
  <c r="C21" i="3"/>
  <c r="E20" i="3"/>
  <c r="D20" i="3"/>
  <c r="E16" i="3"/>
  <c r="D16" i="3"/>
  <c r="C14" i="3"/>
  <c r="D12" i="3"/>
  <c r="C11" i="3"/>
  <c r="C15" i="3" s="1"/>
  <c r="E10" i="3"/>
  <c r="D10" i="3"/>
  <c r="E9" i="3"/>
  <c r="D9" i="3"/>
  <c r="E8" i="3"/>
  <c r="D8" i="3"/>
  <c r="D15" i="3" l="1"/>
  <c r="E44" i="3"/>
  <c r="C51" i="3"/>
  <c r="D11" i="3"/>
  <c r="D33" i="3"/>
  <c r="C33" i="3" s="1"/>
  <c r="E33" i="3" s="1"/>
  <c r="D14" i="3"/>
  <c r="E14" i="3" s="1"/>
  <c r="D23" i="3"/>
  <c r="C28" i="3"/>
  <c r="E51" i="3"/>
  <c r="E12" i="3"/>
  <c r="E21" i="3"/>
  <c r="E28" i="3" s="1"/>
  <c r="E41" i="3"/>
  <c r="E11" i="3"/>
  <c r="D21" i="3"/>
  <c r="D32" i="3" l="1"/>
  <c r="D28" i="3"/>
  <c r="E15" i="3"/>
  <c r="C32" i="3" l="1"/>
  <c r="D39" i="3"/>
  <c r="D52" i="3" s="1"/>
  <c r="D53" i="3" s="1"/>
  <c r="E32" i="3" l="1"/>
  <c r="E39" i="3" s="1"/>
  <c r="C39" i="3"/>
  <c r="C52" i="3" s="1"/>
  <c r="C53" i="3" s="1"/>
  <c r="E52" i="3" l="1"/>
  <c r="E53" i="3" s="1"/>
</calcChain>
</file>

<file path=xl/sharedStrings.xml><?xml version="1.0" encoding="utf-8"?>
<sst xmlns="http://schemas.openxmlformats.org/spreadsheetml/2006/main" count="76" uniqueCount="61">
  <si>
    <t>(Утверждается общим собранием)</t>
  </si>
  <si>
    <t>ДОХОДЫ:</t>
  </si>
  <si>
    <t>по тарифу</t>
  </si>
  <si>
    <t>в месяц</t>
  </si>
  <si>
    <t>в год</t>
  </si>
  <si>
    <t>Сумма в руб. за 1 м2 в мес.</t>
  </si>
  <si>
    <t>в т.ч. ООО "Ростелекомт"</t>
  </si>
  <si>
    <t xml:space="preserve">         ООО "Макснет"</t>
  </si>
  <si>
    <t xml:space="preserve">ПАО «Вымпелком»
</t>
  </si>
  <si>
    <t>Доходы по статье содержание общего имущества</t>
  </si>
  <si>
    <t>Доходы по статье содержание и ремонт лифтов</t>
  </si>
  <si>
    <t>Доходы по статье текущий ремонт</t>
  </si>
  <si>
    <t>ИТОГО ПО ВСЕМ ДОХОДАМ:</t>
  </si>
  <si>
    <t>СТАТЬИ РАСХОДОВ:</t>
  </si>
  <si>
    <t xml:space="preserve">общая площадь, м2  </t>
  </si>
  <si>
    <t xml:space="preserve">1. Управление: </t>
  </si>
  <si>
    <t>1.1.Ежемесячное вознаграждение (заработная плата) Председателя</t>
  </si>
  <si>
    <t>*</t>
  </si>
  <si>
    <t>1.2.Отчисления налогов с вознаграждения Председателя (30,2%)</t>
  </si>
  <si>
    <t>1.3. Ежемесячное вознаграждение (заработная плата) Бухгалтера</t>
  </si>
  <si>
    <t>1.4.Отчисления налогов с вознаграждения Бухгалтера (30,2%)</t>
  </si>
  <si>
    <t>1.7. Мобильная связь председатель, бухгалтер</t>
  </si>
  <si>
    <t>1.8. Договор с паспортиской</t>
  </si>
  <si>
    <t>Всего по управлению:</t>
  </si>
  <si>
    <t>2. Содержание и обслуживание общего имущества дома:</t>
  </si>
  <si>
    <t>2.1. Договор с ЧП "Гришенков С.Н"(обслуживание общего имущ.  всего дома, оплата дворника,уборщицы,электрика,аварийные работы)</t>
  </si>
  <si>
    <t>2.2. Оплата услуг банка</t>
  </si>
  <si>
    <t>2.3. Оплата ЕИРЦ-1 (2%)</t>
  </si>
  <si>
    <t>2.4. Налоги с дохода  (6%)</t>
  </si>
  <si>
    <t>Всего по содержанию и обслуживанию общего имущества дома:</t>
  </si>
  <si>
    <t>3.Текущий ремонт</t>
  </si>
  <si>
    <t>4. Содержание и ремонт лифта</t>
  </si>
  <si>
    <t>4.1. Договор на технич. обслуживание лифтов с ОАО "Калугалифтремстрой".</t>
  </si>
  <si>
    <r>
      <rPr>
        <sz val="10"/>
        <rFont val="Arial Cyr"/>
        <family val="2"/>
        <charset val="204"/>
      </rPr>
      <t xml:space="preserve">4.2. Договор на освидетельствование лифтов </t>
    </r>
    <r>
      <rPr>
        <u/>
        <sz val="10"/>
        <rFont val="Arial Cyr"/>
        <family val="2"/>
        <charset val="204"/>
      </rPr>
      <t xml:space="preserve">ежегодно </t>
    </r>
    <r>
      <rPr>
        <sz val="10"/>
        <rFont val="Arial Cyr"/>
        <family val="2"/>
        <charset val="204"/>
      </rPr>
      <t>с ООО "Калугалифт". (6 лифтов)</t>
    </r>
  </si>
  <si>
    <t>4.3.Страхование лифтов</t>
  </si>
  <si>
    <t>4.6 Выполнение обязательных работ после освидетельствования лифтов</t>
  </si>
  <si>
    <t>4.8. Резерв в случае аварийной поломки лифтов по вине собственников</t>
  </si>
  <si>
    <t>Всего по содержанию и ремонту лифтов:</t>
  </si>
  <si>
    <t>Всего по статьям (п.1, 2, 3, 4)                                                             РАСХОДЫ</t>
  </si>
  <si>
    <t>ДОХОДЫ - РАСХОДЫ</t>
  </si>
  <si>
    <t>1.5. Заправка катрижей</t>
  </si>
  <si>
    <t>1.6.Приобретение бумаги  в том числе для для подготовки собраний</t>
  </si>
  <si>
    <t xml:space="preserve">Поступления от собственников в 2021г. за содержание общего имущества и содержание лифта дома </t>
  </si>
  <si>
    <t>СМЕТА ДОХОДОВ И РАСХОДОВ ТСЖ "Каскад" на 2021 год</t>
  </si>
  <si>
    <t>Поступления по договорам от организаций всего: в 2021 г.</t>
  </si>
  <si>
    <t>5.Капитальный ремонт (мин. размер устанавл. Калуж обл.)</t>
  </si>
  <si>
    <t>Расходы по статье капитальный ремонт (крыши 1 секции)</t>
  </si>
  <si>
    <t>ДОХОДЫ - РАСХОДЫ по статье капитальный ремонт</t>
  </si>
  <si>
    <t>4.5.Приобретение расходных материалов для лифтов, частичная замена облицовки в кабинах и над входными дверями.</t>
  </si>
  <si>
    <t>4.7. Дополнительная, полная уборка лифтов 1 раз  в неделю</t>
  </si>
  <si>
    <t>2.6.На аварийные работы, проверка дымоходов и вентканалов в течении года 3 раза</t>
  </si>
  <si>
    <t>2.7.Приобретение необходимых материалов для содержания и ремонта дома и придомовой территории в 2021 г. ,в том числе посадочного материала (кустов для высадки за домом)</t>
  </si>
  <si>
    <t>2.8. Механизированная уборка придомовой территории в зимнее время</t>
  </si>
  <si>
    <t>2.9. Обслуживание системы домофонных панелей на дверях и калитках, обслуживание автоматики 5 ворот,  обслуживание  4 видеокамер,подключенных к приложению "Ключ".</t>
  </si>
  <si>
    <t xml:space="preserve">Выпадающие доходы - оплата за неплательщиков  по холодной воде , за домофон. </t>
  </si>
  <si>
    <t>Планируемый дефицит в размере 7285 руб. 30 коп., относится к выпадающим доходам, будет уменьшен за счет средств поступающих  от должников .</t>
  </si>
  <si>
    <t>Дополнительные услуги Домофон (40 руб с кварт.)</t>
  </si>
  <si>
    <t>4.4. На освидетельствование лифтов 1 раз в 25 лет,на плановою или аварийную замену канатов,для проведения среднего ремонта.</t>
  </si>
  <si>
    <t xml:space="preserve">Доходы по статье капитальный ремонт </t>
  </si>
  <si>
    <t>2.5. Договор с ОАО "Газпромраспределение" (обслуживание наружного газопровода)</t>
  </si>
  <si>
    <t>3.1 Выборочный текущий ремонт в 1,5,6 подъездах и на 1 этажах 2,3 подъездов, ремонт и выравнивание тратурной плитки около 5,6 поъезда, ремонт и выравнивание тратуарных  плит около спортивной площадки,установка леерного ограждения,работы по установке и наладке  счетчиков на горячию и холодную воду с дистанционным снятием показаний.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</si>
</sst>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5" x14ac:knownFonts="1"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u/>
      <sz val="10"/>
      <name val="Arial Cyr"/>
      <family val="2"/>
      <charset val="204"/>
    </font>
    <font>
      <i/>
      <u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u/>
      <sz val="10"/>
      <name val="Arial Cyr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2" fillId="0" borderId="4" xfId="0" applyFont="1" applyBorder="1" applyAlignment="1">
      <alignment horizontal="center" wrapText="1"/>
    </xf>
    <xf numFmtId="4" fontId="2" fillId="0" borderId="5" xfId="0" applyNumberFormat="1" applyFont="1" applyBorder="1"/>
    <xf numFmtId="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/>
    <xf numFmtId="4" fontId="0" fillId="0" borderId="6" xfId="0" applyNumberFormat="1" applyBorder="1"/>
    <xf numFmtId="4" fontId="0" fillId="0" borderId="0" xfId="0" applyNumberFormat="1" applyBorder="1" applyAlignment="1">
      <alignment horizontal="center"/>
    </xf>
    <xf numFmtId="0" fontId="0" fillId="0" borderId="4" xfId="0" applyFont="1" applyBorder="1"/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4" xfId="0" applyFont="1" applyBorder="1" applyAlignment="1">
      <alignment wrapText="1"/>
    </xf>
    <xf numFmtId="4" fontId="4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/>
    </xf>
    <xf numFmtId="4" fontId="0" fillId="0" borderId="5" xfId="0" applyNumberFormat="1" applyBorder="1"/>
    <xf numFmtId="0" fontId="2" fillId="0" borderId="4" xfId="0" applyFont="1" applyBorder="1" applyAlignment="1">
      <alignment horizontal="left" vertical="center"/>
    </xf>
    <xf numFmtId="4" fontId="0" fillId="0" borderId="5" xfId="0" applyNumberFormat="1" applyFont="1" applyBorder="1"/>
    <xf numFmtId="4" fontId="2" fillId="0" borderId="6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/>
    </xf>
    <xf numFmtId="0" fontId="8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4" fontId="6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4" fontId="0" fillId="0" borderId="5" xfId="0" applyNumberFormat="1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4" fontId="9" fillId="0" borderId="9" xfId="0" applyNumberFormat="1" applyFont="1" applyBorder="1"/>
    <xf numFmtId="4" fontId="9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10" fillId="0" borderId="5" xfId="0" applyFont="1" applyBorder="1"/>
    <xf numFmtId="4" fontId="9" fillId="0" borderId="5" xfId="0" applyNumberFormat="1" applyFont="1" applyBorder="1"/>
    <xf numFmtId="49" fontId="0" fillId="0" borderId="5" xfId="0" applyNumberFormat="1" applyFont="1" applyBorder="1" applyAlignment="1">
      <alignment wrapText="1"/>
    </xf>
    <xf numFmtId="164" fontId="0" fillId="0" borderId="4" xfId="0" applyNumberFormat="1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4" fontId="1" fillId="0" borderId="5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/>
    <xf numFmtId="4" fontId="14" fillId="0" borderId="5" xfId="0" applyNumberFormat="1" applyFont="1" applyBorder="1"/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/>
    <xf numFmtId="4" fontId="14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71"/>
  <sheetViews>
    <sheetView topLeftCell="A7" zoomScale="95" zoomScaleNormal="95" workbookViewId="0">
      <selection activeCell="G19" sqref="G19"/>
    </sheetView>
  </sheetViews>
  <sheetFormatPr defaultRowHeight="12.75" x14ac:dyDescent="0.2"/>
  <cols>
    <col min="1" max="1" width="66.85546875"/>
    <col min="2" max="4" width="16.5703125"/>
    <col min="5" max="5" width="11"/>
    <col min="6" max="6" width="9.28515625"/>
    <col min="7" max="7" width="21.28515625"/>
    <col min="8" max="1025" width="8.42578125"/>
  </cols>
  <sheetData>
    <row r="5" ht="36" customHeight="1" x14ac:dyDescent="0.2"/>
    <row r="6" ht="30.75" customHeight="1" x14ac:dyDescent="0.2"/>
    <row r="7" ht="20.100000000000001" customHeight="1" x14ac:dyDescent="0.2"/>
    <row r="8" ht="20.100000000000001" customHeight="1" x14ac:dyDescent="0.2"/>
    <row r="9" ht="20.100000000000001" customHeight="1" x14ac:dyDescent="0.2"/>
    <row r="10" ht="20.100000000000001" customHeight="1" x14ac:dyDescent="0.2"/>
    <row r="11" ht="20.100000000000001" customHeight="1" x14ac:dyDescent="0.2"/>
    <row r="12" ht="20.100000000000001" customHeight="1" x14ac:dyDescent="0.2"/>
    <row r="13" ht="20.100000000000001" customHeight="1" x14ac:dyDescent="0.2"/>
    <row r="14" ht="20.100000000000001" customHeight="1" x14ac:dyDescent="0.2"/>
    <row r="15" ht="20.100000000000001" customHeight="1" x14ac:dyDescent="0.2"/>
    <row r="16" ht="20.100000000000001" customHeight="1" x14ac:dyDescent="0.2"/>
    <row r="17" ht="20.100000000000001" customHeight="1" x14ac:dyDescent="0.2"/>
    <row r="18" ht="38.25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7" customHeight="1" x14ac:dyDescent="0.2"/>
    <row r="40" ht="20.100000000000001" customHeight="1" x14ac:dyDescent="0.2"/>
    <row r="41" ht="27" customHeight="1" x14ac:dyDescent="0.2"/>
    <row r="42" ht="20.100000000000001" customHeight="1" x14ac:dyDescent="0.2"/>
    <row r="43" ht="20.100000000000001" customHeight="1" x14ac:dyDescent="0.2"/>
    <row r="44" ht="27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7" customHeight="1" x14ac:dyDescent="0.2"/>
    <row r="53" ht="20.100000000000001" customHeight="1" x14ac:dyDescent="0.2"/>
    <row r="54" ht="27" customHeight="1" x14ac:dyDescent="0.2"/>
    <row r="55" ht="20.100000000000001" customHeight="1" x14ac:dyDescent="0.2"/>
    <row r="56" ht="30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30.75" customHeight="1" x14ac:dyDescent="0.2"/>
    <row r="65" ht="45.75" customHeight="1" x14ac:dyDescent="0.2"/>
    <row r="66" ht="20.100000000000001" customHeight="1" x14ac:dyDescent="0.2"/>
    <row r="67" ht="20.100000000000001" customHeight="1" x14ac:dyDescent="0.2"/>
    <row r="68" ht="26.1" customHeight="1" x14ac:dyDescent="0.2"/>
    <row r="69" ht="26.1" customHeight="1" x14ac:dyDescent="0.2"/>
    <row r="70" ht="26.1" customHeight="1" x14ac:dyDescent="0.2"/>
    <row r="71" ht="61.5" customHeight="1" x14ac:dyDescent="0.2"/>
  </sheetData>
  <pageMargins left="0.64027777777777795" right="0.4" top="0.22986111111111099" bottom="0.29027777777777802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A69"/>
  <sheetViews>
    <sheetView zoomScale="95" zoomScaleNormal="95" workbookViewId="0"/>
  </sheetViews>
  <sheetFormatPr defaultRowHeight="12.75" x14ac:dyDescent="0.2"/>
  <cols>
    <col min="1" max="1025" width="8.42578125"/>
  </cols>
  <sheetData>
    <row r="17" ht="39.950000000000003" customHeight="1" x14ac:dyDescent="0.2"/>
    <row r="69" ht="38.1" customHeight="1" x14ac:dyDescent="0.2"/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40" zoomScale="95" zoomScaleNormal="95" workbookViewId="0">
      <selection activeCell="A41" sqref="A41"/>
    </sheetView>
  </sheetViews>
  <sheetFormatPr defaultRowHeight="12.75" x14ac:dyDescent="0.2"/>
  <cols>
    <col min="1" max="1" width="68"/>
    <col min="2" max="2" width="10.42578125" style="1"/>
    <col min="3" max="3" width="15.7109375" style="1"/>
    <col min="4" max="4" width="18.140625" style="1"/>
    <col min="5" max="5" width="16.7109375" style="1"/>
    <col min="6" max="6" width="11.140625"/>
    <col min="7" max="7" width="17.140625"/>
    <col min="8" max="8" width="71"/>
    <col min="9" max="11" width="8.42578125"/>
    <col min="12" max="12" width="17.85546875"/>
    <col min="13" max="1025" width="8.42578125"/>
  </cols>
  <sheetData>
    <row r="1" spans="1:9" x14ac:dyDescent="0.2">
      <c r="A1" s="76" t="s">
        <v>0</v>
      </c>
      <c r="B1" s="76"/>
      <c r="C1" s="76"/>
      <c r="D1" s="76"/>
      <c r="E1" s="76"/>
    </row>
    <row r="3" spans="1:9" ht="15.75" x14ac:dyDescent="0.25">
      <c r="A3" s="77" t="s">
        <v>43</v>
      </c>
      <c r="B3" s="77"/>
      <c r="C3" s="77"/>
      <c r="D3" s="77"/>
      <c r="E3" s="77"/>
    </row>
    <row r="5" spans="1:9" ht="24.95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I5" s="5"/>
    </row>
    <row r="6" spans="1:9" ht="25.5" x14ac:dyDescent="0.2">
      <c r="A6" s="6" t="s">
        <v>42</v>
      </c>
      <c r="B6" s="7"/>
      <c r="C6" s="7"/>
      <c r="D6" s="7"/>
      <c r="E6" s="8"/>
    </row>
    <row r="7" spans="1:9" x14ac:dyDescent="0.2">
      <c r="A7" s="9" t="s">
        <v>44</v>
      </c>
      <c r="B7" s="7"/>
      <c r="C7" s="7"/>
      <c r="D7" s="7"/>
      <c r="E7" s="10"/>
      <c r="F7" s="11"/>
    </row>
    <row r="8" spans="1:9" x14ac:dyDescent="0.2">
      <c r="A8" s="12" t="s">
        <v>6</v>
      </c>
      <c r="B8" s="13">
        <v>1000</v>
      </c>
      <c r="C8" s="13">
        <v>1000</v>
      </c>
      <c r="D8" s="13">
        <f t="shared" ref="D8:D14" si="0">C8*12</f>
        <v>12000</v>
      </c>
      <c r="E8" s="14">
        <f t="shared" ref="E8:E14" si="1">IF(C8=0,D8/12/$B$18,C8/$B$18)</f>
        <v>7.8647885551596949E-2</v>
      </c>
      <c r="F8" s="11"/>
      <c r="G8" s="1"/>
    </row>
    <row r="9" spans="1:9" x14ac:dyDescent="0.2">
      <c r="A9" s="12" t="s">
        <v>7</v>
      </c>
      <c r="B9" s="13">
        <v>1000</v>
      </c>
      <c r="C9" s="13">
        <v>1000</v>
      </c>
      <c r="D9" s="13">
        <f t="shared" si="0"/>
        <v>12000</v>
      </c>
      <c r="E9" s="14">
        <f t="shared" si="1"/>
        <v>7.8647885551596949E-2</v>
      </c>
      <c r="F9" s="11"/>
      <c r="G9" s="1"/>
    </row>
    <row r="10" spans="1:9" ht="25.5" x14ac:dyDescent="0.2">
      <c r="A10" s="15" t="s">
        <v>8</v>
      </c>
      <c r="B10" s="13">
        <v>250</v>
      </c>
      <c r="C10" s="13">
        <v>250</v>
      </c>
      <c r="D10" s="13">
        <f t="shared" si="0"/>
        <v>3000</v>
      </c>
      <c r="E10" s="14">
        <f t="shared" si="1"/>
        <v>1.9661971387899237E-2</v>
      </c>
      <c r="F10" s="11"/>
      <c r="G10" s="1"/>
    </row>
    <row r="11" spans="1:9" x14ac:dyDescent="0.2">
      <c r="A11" s="12" t="s">
        <v>9</v>
      </c>
      <c r="B11" s="16">
        <v>16.05</v>
      </c>
      <c r="C11" s="13">
        <f>B11*$B$18</f>
        <v>204074.14499999999</v>
      </c>
      <c r="D11" s="13">
        <f t="shared" si="0"/>
        <v>2448889.7399999998</v>
      </c>
      <c r="E11" s="14">
        <f t="shared" si="1"/>
        <v>16.05</v>
      </c>
      <c r="F11" s="11"/>
      <c r="G11" s="1"/>
    </row>
    <row r="12" spans="1:9" x14ac:dyDescent="0.2">
      <c r="A12" s="12" t="s">
        <v>10</v>
      </c>
      <c r="B12" s="17">
        <v>3.46</v>
      </c>
      <c r="C12" s="18">
        <f>B12*$B$18</f>
        <v>43993.553999999996</v>
      </c>
      <c r="D12" s="18">
        <f t="shared" si="0"/>
        <v>527922.64799999993</v>
      </c>
      <c r="E12" s="14">
        <f t="shared" si="1"/>
        <v>3.46</v>
      </c>
      <c r="F12" s="11"/>
      <c r="G12" s="1"/>
    </row>
    <row r="13" spans="1:9" x14ac:dyDescent="0.2">
      <c r="A13" s="12" t="s">
        <v>56</v>
      </c>
      <c r="B13" s="17">
        <v>40</v>
      </c>
      <c r="C13" s="18">
        <f>B13*221</f>
        <v>8840</v>
      </c>
      <c r="D13" s="18">
        <f t="shared" si="0"/>
        <v>106080</v>
      </c>
      <c r="E13" s="14">
        <f t="shared" si="1"/>
        <v>0.69524730827611703</v>
      </c>
      <c r="F13" s="11"/>
      <c r="G13" s="1"/>
    </row>
    <row r="14" spans="1:9" x14ac:dyDescent="0.2">
      <c r="A14" s="12" t="s">
        <v>11</v>
      </c>
      <c r="B14" s="19">
        <v>3.2</v>
      </c>
      <c r="C14" s="18">
        <f>B14*$B$18</f>
        <v>40687.68</v>
      </c>
      <c r="D14" s="18">
        <f t="shared" si="0"/>
        <v>488252.16000000003</v>
      </c>
      <c r="E14" s="14">
        <f t="shared" si="1"/>
        <v>3.2</v>
      </c>
      <c r="F14" s="11"/>
      <c r="G14" s="1"/>
    </row>
    <row r="15" spans="1:9" x14ac:dyDescent="0.2">
      <c r="A15" s="9" t="s">
        <v>12</v>
      </c>
      <c r="B15" s="20"/>
      <c r="C15" s="21">
        <f>SUM(C8:C14)</f>
        <v>299845.37900000002</v>
      </c>
      <c r="D15" s="21">
        <f>SUM(D8:D14)</f>
        <v>3598144.548</v>
      </c>
      <c r="E15" s="8">
        <f>SUM(E8:E14)</f>
        <v>23.582205050767211</v>
      </c>
      <c r="F15" s="11"/>
      <c r="G15" s="1"/>
    </row>
    <row r="16" spans="1:9" ht="25.5" x14ac:dyDescent="0.2">
      <c r="A16" s="22" t="s">
        <v>54</v>
      </c>
      <c r="B16" s="23"/>
      <c r="C16" s="24">
        <v>11460</v>
      </c>
      <c r="D16" s="24">
        <f>C16*12</f>
        <v>137520</v>
      </c>
      <c r="E16" s="25">
        <f>C16/$B$18</f>
        <v>0.90130476842130103</v>
      </c>
      <c r="F16" s="11"/>
      <c r="G16" s="1"/>
    </row>
    <row r="17" spans="1:7" ht="24.95" customHeight="1" x14ac:dyDescent="0.2">
      <c r="A17" s="26" t="s">
        <v>13</v>
      </c>
      <c r="B17" s="27"/>
      <c r="C17" s="21" t="s">
        <v>3</v>
      </c>
      <c r="D17" s="21" t="s">
        <v>4</v>
      </c>
      <c r="E17" s="28" t="s">
        <v>5</v>
      </c>
      <c r="F17" s="11"/>
      <c r="G17" s="1"/>
    </row>
    <row r="18" spans="1:7" x14ac:dyDescent="0.2">
      <c r="A18" s="29" t="s">
        <v>14</v>
      </c>
      <c r="B18" s="23">
        <v>12714.9</v>
      </c>
      <c r="C18" s="30"/>
      <c r="D18" s="30"/>
      <c r="E18" s="10"/>
      <c r="F18" s="11"/>
      <c r="G18" s="1"/>
    </row>
    <row r="19" spans="1:7" x14ac:dyDescent="0.2">
      <c r="A19" s="31" t="s">
        <v>15</v>
      </c>
      <c r="B19" s="32"/>
      <c r="C19" s="32"/>
      <c r="D19" s="32"/>
      <c r="E19" s="33"/>
      <c r="F19" s="11"/>
      <c r="G19" s="1"/>
    </row>
    <row r="20" spans="1:7" x14ac:dyDescent="0.2">
      <c r="A20" s="12" t="s">
        <v>16</v>
      </c>
      <c r="B20" s="34" t="s">
        <v>17</v>
      </c>
      <c r="C20" s="18">
        <v>21600</v>
      </c>
      <c r="D20" s="18">
        <f t="shared" ref="D20:D27" si="2">C20*12</f>
        <v>259200</v>
      </c>
      <c r="E20" s="35">
        <f t="shared" ref="E20:E27" si="3">IF(C20=0,D20/12/$B$18,C20/$B$18)</f>
        <v>1.6987943279144941</v>
      </c>
      <c r="F20" s="11"/>
      <c r="G20" s="1"/>
    </row>
    <row r="21" spans="1:7" x14ac:dyDescent="0.2">
      <c r="A21" s="12" t="s">
        <v>18</v>
      </c>
      <c r="B21" s="34" t="s">
        <v>17</v>
      </c>
      <c r="C21" s="18">
        <f>C20*30.2/100</f>
        <v>6523.2</v>
      </c>
      <c r="D21" s="18">
        <f t="shared" si="2"/>
        <v>78278.399999999994</v>
      </c>
      <c r="E21" s="35">
        <f t="shared" si="3"/>
        <v>0.51303588703017722</v>
      </c>
      <c r="F21" s="11"/>
      <c r="G21" s="1"/>
    </row>
    <row r="22" spans="1:7" x14ac:dyDescent="0.2">
      <c r="A22" s="12" t="s">
        <v>19</v>
      </c>
      <c r="B22" s="34" t="s">
        <v>17</v>
      </c>
      <c r="C22" s="18">
        <v>11800</v>
      </c>
      <c r="D22" s="18">
        <f t="shared" si="2"/>
        <v>141600</v>
      </c>
      <c r="E22" s="35">
        <f t="shared" si="3"/>
        <v>0.92804504950884403</v>
      </c>
      <c r="F22" s="11"/>
      <c r="G22" s="1"/>
    </row>
    <row r="23" spans="1:7" x14ac:dyDescent="0.2">
      <c r="A23" s="12" t="s">
        <v>20</v>
      </c>
      <c r="B23" s="34" t="s">
        <v>17</v>
      </c>
      <c r="C23" s="18">
        <f>C22*30.2/100</f>
        <v>3563.6</v>
      </c>
      <c r="D23" s="18">
        <f t="shared" si="2"/>
        <v>42763.199999999997</v>
      </c>
      <c r="E23" s="35">
        <f t="shared" si="3"/>
        <v>0.28026960495167086</v>
      </c>
      <c r="F23" s="11"/>
      <c r="G23" s="1"/>
    </row>
    <row r="24" spans="1:7" s="36" customFormat="1" x14ac:dyDescent="0.2">
      <c r="A24" s="12" t="s">
        <v>40</v>
      </c>
      <c r="B24" s="34"/>
      <c r="C24" s="18">
        <v>150</v>
      </c>
      <c r="D24" s="18">
        <f t="shared" si="2"/>
        <v>1800</v>
      </c>
      <c r="E24" s="35">
        <f t="shared" si="3"/>
        <v>1.1797182832739542E-2</v>
      </c>
      <c r="F24" s="11"/>
      <c r="G24" s="1"/>
    </row>
    <row r="25" spans="1:7" s="39" customFormat="1" x14ac:dyDescent="0.2">
      <c r="A25" s="15" t="s">
        <v>41</v>
      </c>
      <c r="B25" s="37"/>
      <c r="C25" s="38">
        <v>110</v>
      </c>
      <c r="D25" s="38">
        <f t="shared" si="2"/>
        <v>1320</v>
      </c>
      <c r="E25" s="35">
        <f t="shared" si="3"/>
        <v>8.6512674106756643E-3</v>
      </c>
      <c r="F25" s="11"/>
      <c r="G25" s="1"/>
    </row>
    <row r="26" spans="1:7" x14ac:dyDescent="0.2">
      <c r="A26" s="15" t="s">
        <v>21</v>
      </c>
      <c r="B26" s="34"/>
      <c r="C26" s="18">
        <v>900</v>
      </c>
      <c r="D26" s="18">
        <f t="shared" si="2"/>
        <v>10800</v>
      </c>
      <c r="E26" s="35">
        <f t="shared" si="3"/>
        <v>7.0783096996437256E-2</v>
      </c>
      <c r="F26" s="11"/>
      <c r="G26" s="1"/>
    </row>
    <row r="27" spans="1:7" x14ac:dyDescent="0.2">
      <c r="A27" s="15" t="s">
        <v>22</v>
      </c>
      <c r="B27" s="34"/>
      <c r="C27" s="18">
        <v>3000</v>
      </c>
      <c r="D27" s="18">
        <f t="shared" si="2"/>
        <v>36000</v>
      </c>
      <c r="E27" s="35">
        <f t="shared" si="3"/>
        <v>0.23594365665479083</v>
      </c>
      <c r="F27" s="11"/>
      <c r="G27" s="1"/>
    </row>
    <row r="28" spans="1:7" s="44" customFormat="1" x14ac:dyDescent="0.2">
      <c r="A28" s="40" t="s">
        <v>23</v>
      </c>
      <c r="B28" s="41"/>
      <c r="C28" s="42">
        <f>SUM(C20:C27)</f>
        <v>47646.799999999996</v>
      </c>
      <c r="D28" s="42">
        <f>SUM(D20:D27)</f>
        <v>571761.60000000009</v>
      </c>
      <c r="E28" s="43">
        <f>SUM(E20:E27)</f>
        <v>3.74732007329983</v>
      </c>
      <c r="F28" s="11"/>
      <c r="G28" s="1"/>
    </row>
    <row r="29" spans="1:7" x14ac:dyDescent="0.2">
      <c r="A29" s="45" t="s">
        <v>24</v>
      </c>
      <c r="B29" s="34"/>
      <c r="C29" s="32"/>
      <c r="D29" s="32"/>
      <c r="E29" s="35">
        <f t="shared" ref="E29:E34" si="4">IF(C29=0,D29/12/$B$18,C29/$B$18)</f>
        <v>0</v>
      </c>
      <c r="F29" s="11"/>
      <c r="G29" s="1"/>
    </row>
    <row r="30" spans="1:7" ht="25.5" x14ac:dyDescent="0.2">
      <c r="A30" s="15" t="s">
        <v>25</v>
      </c>
      <c r="B30" s="34" t="s">
        <v>17</v>
      </c>
      <c r="C30" s="18">
        <v>110950</v>
      </c>
      <c r="D30" s="18">
        <f>C30*12</f>
        <v>1331400</v>
      </c>
      <c r="E30" s="35">
        <f t="shared" si="4"/>
        <v>8.7259829019496813</v>
      </c>
      <c r="F30" s="11"/>
      <c r="G30" s="1"/>
    </row>
    <row r="31" spans="1:7" x14ac:dyDescent="0.2">
      <c r="A31" s="12" t="s">
        <v>26</v>
      </c>
      <c r="B31" s="34" t="s">
        <v>17</v>
      </c>
      <c r="C31" s="18">
        <f t="shared" ref="C31:C34" si="5">D31/12</f>
        <v>1666.6666666666667</v>
      </c>
      <c r="D31" s="18">
        <v>20000</v>
      </c>
      <c r="E31" s="35">
        <f t="shared" si="4"/>
        <v>0.13107980925266158</v>
      </c>
      <c r="F31" s="11"/>
      <c r="G31" s="1"/>
    </row>
    <row r="32" spans="1:7" x14ac:dyDescent="0.2">
      <c r="A32" s="12" t="s">
        <v>27</v>
      </c>
      <c r="B32" s="34" t="s">
        <v>17</v>
      </c>
      <c r="C32" s="18">
        <f t="shared" si="5"/>
        <v>5996.9075800000001</v>
      </c>
      <c r="D32" s="18">
        <f>D15*0.02</f>
        <v>71962.890960000004</v>
      </c>
      <c r="E32" s="35">
        <f t="shared" si="4"/>
        <v>0.47164410101534421</v>
      </c>
      <c r="F32" s="11"/>
      <c r="G32" s="1"/>
    </row>
    <row r="33" spans="1:7" x14ac:dyDescent="0.2">
      <c r="A33" s="12" t="s">
        <v>28</v>
      </c>
      <c r="B33" s="34" t="s">
        <v>17</v>
      </c>
      <c r="C33" s="18">
        <f t="shared" si="5"/>
        <v>120</v>
      </c>
      <c r="D33" s="18">
        <f>(D9+D8)*0.06</f>
        <v>1440</v>
      </c>
      <c r="E33" s="35">
        <f t="shared" si="4"/>
        <v>9.4377462661916333E-3</v>
      </c>
      <c r="F33" s="11"/>
      <c r="G33" s="1"/>
    </row>
    <row r="34" spans="1:7" ht="25.5" x14ac:dyDescent="0.2">
      <c r="A34" s="15" t="s">
        <v>59</v>
      </c>
      <c r="B34" s="34" t="s">
        <v>17</v>
      </c>
      <c r="C34" s="38">
        <f t="shared" si="5"/>
        <v>1766.5</v>
      </c>
      <c r="D34" s="18">
        <v>21198</v>
      </c>
      <c r="E34" s="35">
        <f t="shared" si="4"/>
        <v>0.13893148982689602</v>
      </c>
      <c r="F34" s="11"/>
      <c r="G34" s="1"/>
    </row>
    <row r="35" spans="1:7" ht="25.5" x14ac:dyDescent="0.2">
      <c r="A35" s="15" t="s">
        <v>50</v>
      </c>
      <c r="B35" s="34"/>
      <c r="C35" s="18">
        <f>D35/12</f>
        <v>3583.3333333333335</v>
      </c>
      <c r="D35" s="18">
        <v>43000</v>
      </c>
      <c r="E35" s="35">
        <f>C35/B18</f>
        <v>0.28182158989322242</v>
      </c>
      <c r="F35" s="11"/>
      <c r="G35" s="1"/>
    </row>
    <row r="36" spans="1:7" ht="38.25" x14ac:dyDescent="0.2">
      <c r="A36" s="15" t="s">
        <v>51</v>
      </c>
      <c r="B36" s="34"/>
      <c r="C36" s="18">
        <f>D36/12</f>
        <v>11583.333333333334</v>
      </c>
      <c r="D36" s="18">
        <v>139000</v>
      </c>
      <c r="E36" s="35">
        <f>C36/B18</f>
        <v>0.91100467430599807</v>
      </c>
      <c r="F36" s="11"/>
      <c r="G36" s="1"/>
    </row>
    <row r="37" spans="1:7" x14ac:dyDescent="0.2">
      <c r="A37" s="46" t="s">
        <v>52</v>
      </c>
      <c r="B37" s="47"/>
      <c r="C37" s="18">
        <f>D37/12</f>
        <v>3166.6666666666665</v>
      </c>
      <c r="D37" s="18">
        <v>38000</v>
      </c>
      <c r="E37" s="35">
        <f>IF(C37=0,D37/12/$B$18,C37/$B$18)</f>
        <v>0.24905163758005699</v>
      </c>
      <c r="F37" s="11"/>
      <c r="G37" s="11"/>
    </row>
    <row r="38" spans="1:7" ht="38.25" x14ac:dyDescent="0.2">
      <c r="A38" s="48" t="s">
        <v>53</v>
      </c>
      <c r="B38" s="47"/>
      <c r="C38" s="18">
        <v>17860</v>
      </c>
      <c r="D38" s="18">
        <f>C38*12</f>
        <v>214320</v>
      </c>
      <c r="E38" s="35">
        <f>IF(C38=0,D38/12/$B$18,C38/$B$18)</f>
        <v>1.4046512359515215</v>
      </c>
      <c r="F38" s="11"/>
      <c r="G38" s="11"/>
    </row>
    <row r="39" spans="1:7" s="44" customFormat="1" x14ac:dyDescent="0.2">
      <c r="A39" s="49" t="s">
        <v>29</v>
      </c>
      <c r="B39" s="50"/>
      <c r="C39" s="51">
        <f>SUM(C30:C38)</f>
        <v>156693.40758</v>
      </c>
      <c r="D39" s="51">
        <f>SUM(D30:D38)</f>
        <v>1880320.89096</v>
      </c>
      <c r="E39" s="52">
        <f>SUM(E30:E38)</f>
        <v>12.323605186041576</v>
      </c>
      <c r="F39" s="11"/>
      <c r="G39" s="11"/>
    </row>
    <row r="40" spans="1:7" x14ac:dyDescent="0.2">
      <c r="A40" s="53" t="s">
        <v>30</v>
      </c>
      <c r="B40" s="54"/>
      <c r="C40" s="42"/>
      <c r="D40" s="42"/>
      <c r="E40" s="42"/>
      <c r="F40" s="11"/>
      <c r="G40" s="11"/>
    </row>
    <row r="41" spans="1:7" ht="76.5" x14ac:dyDescent="0.2">
      <c r="A41" s="55" t="s">
        <v>60</v>
      </c>
      <c r="B41" s="54"/>
      <c r="C41" s="18">
        <f>D41/12</f>
        <v>40700</v>
      </c>
      <c r="D41" s="18">
        <v>488400</v>
      </c>
      <c r="E41" s="14">
        <f>IF(C41=0,D41/12/$B$18,C41/$B$18)</f>
        <v>3.2009689419499958</v>
      </c>
      <c r="F41" s="11"/>
      <c r="G41" s="11"/>
    </row>
    <row r="42" spans="1:7" x14ac:dyDescent="0.2">
      <c r="A42" s="45" t="s">
        <v>31</v>
      </c>
      <c r="B42" s="32"/>
      <c r="C42" s="18"/>
      <c r="D42" s="18"/>
      <c r="E42" s="35"/>
      <c r="F42" s="11"/>
      <c r="G42" s="11"/>
    </row>
    <row r="43" spans="1:7" x14ac:dyDescent="0.2">
      <c r="A43" s="12" t="s">
        <v>32</v>
      </c>
      <c r="B43" s="34" t="s">
        <v>17</v>
      </c>
      <c r="C43" s="18">
        <v>25289.78</v>
      </c>
      <c r="D43" s="18">
        <f>C43*12</f>
        <v>303477.36</v>
      </c>
      <c r="E43" s="35">
        <f t="shared" ref="E43:E50" si="6">IF(C43=0,D43/12/$B$18,C43/$B$18)</f>
        <v>1.9889877230650654</v>
      </c>
      <c r="F43" s="11"/>
      <c r="G43" s="11"/>
    </row>
    <row r="44" spans="1:7" ht="25.5" x14ac:dyDescent="0.2">
      <c r="A44" s="15" t="s">
        <v>33</v>
      </c>
      <c r="B44" s="34" t="s">
        <v>17</v>
      </c>
      <c r="C44" s="18">
        <f t="shared" ref="C44:C50" si="7">D44/12</f>
        <v>2066.6666666666665</v>
      </c>
      <c r="D44" s="18">
        <v>24800</v>
      </c>
      <c r="E44" s="35">
        <f t="shared" si="6"/>
        <v>0.16253896347330035</v>
      </c>
      <c r="F44" s="11"/>
      <c r="G44" s="11"/>
    </row>
    <row r="45" spans="1:7" x14ac:dyDescent="0.2">
      <c r="A45" s="15" t="s">
        <v>34</v>
      </c>
      <c r="B45" s="34" t="s">
        <v>17</v>
      </c>
      <c r="C45" s="18">
        <f t="shared" si="7"/>
        <v>192.5</v>
      </c>
      <c r="D45" s="18">
        <v>2310</v>
      </c>
      <c r="E45" s="35">
        <f t="shared" si="6"/>
        <v>1.5139717968682413E-2</v>
      </c>
      <c r="F45" s="11"/>
      <c r="G45" s="11"/>
    </row>
    <row r="46" spans="1:7" ht="25.5" x14ac:dyDescent="0.2">
      <c r="A46" s="15" t="s">
        <v>57</v>
      </c>
      <c r="B46" s="34" t="s">
        <v>17</v>
      </c>
      <c r="C46" s="18">
        <f t="shared" si="7"/>
        <v>3890</v>
      </c>
      <c r="D46" s="18">
        <v>46680</v>
      </c>
      <c r="E46" s="35">
        <f t="shared" si="6"/>
        <v>0.30594027479571212</v>
      </c>
      <c r="F46" s="11"/>
      <c r="G46" s="11"/>
    </row>
    <row r="47" spans="1:7" ht="25.5" x14ac:dyDescent="0.2">
      <c r="A47" s="56" t="s">
        <v>48</v>
      </c>
      <c r="B47" s="7"/>
      <c r="C47" s="18">
        <f t="shared" si="7"/>
        <v>3296.6666666666665</v>
      </c>
      <c r="D47" s="18">
        <v>39560</v>
      </c>
      <c r="E47" s="35">
        <f t="shared" si="6"/>
        <v>0.25927586270176461</v>
      </c>
      <c r="F47" s="11"/>
      <c r="G47" s="11"/>
    </row>
    <row r="48" spans="1:7" x14ac:dyDescent="0.2">
      <c r="A48" s="15" t="s">
        <v>35</v>
      </c>
      <c r="B48" s="7"/>
      <c r="C48" s="18">
        <f t="shared" si="7"/>
        <v>2883.3333333333335</v>
      </c>
      <c r="D48" s="18">
        <v>34600</v>
      </c>
      <c r="E48" s="35">
        <f t="shared" si="6"/>
        <v>0.22676807000710456</v>
      </c>
      <c r="F48" s="11"/>
      <c r="G48" s="11"/>
    </row>
    <row r="49" spans="1:8" x14ac:dyDescent="0.2">
      <c r="A49" s="15" t="s">
        <v>49</v>
      </c>
      <c r="B49" s="7"/>
      <c r="C49" s="18">
        <f t="shared" si="7"/>
        <v>2500</v>
      </c>
      <c r="D49" s="18">
        <v>30000</v>
      </c>
      <c r="E49" s="35">
        <f t="shared" si="6"/>
        <v>0.19661971387899238</v>
      </c>
      <c r="F49" s="11"/>
      <c r="G49" s="11"/>
    </row>
    <row r="50" spans="1:8" x14ac:dyDescent="0.2">
      <c r="A50" s="15" t="s">
        <v>36</v>
      </c>
      <c r="B50" s="7"/>
      <c r="C50" s="18">
        <f t="shared" si="7"/>
        <v>3833.3333333333335</v>
      </c>
      <c r="D50" s="18">
        <v>46000</v>
      </c>
      <c r="E50" s="35">
        <f t="shared" si="6"/>
        <v>0.30148356128112164</v>
      </c>
      <c r="F50" s="11"/>
      <c r="G50" s="11"/>
    </row>
    <row r="51" spans="1:8" s="44" customFormat="1" x14ac:dyDescent="0.2">
      <c r="A51" s="40" t="s">
        <v>37</v>
      </c>
      <c r="B51" s="54"/>
      <c r="C51" s="21">
        <f>SUM(C43:C50)</f>
        <v>43952.280000000006</v>
      </c>
      <c r="D51" s="21">
        <f>SUM(D43:D50)</f>
        <v>527427.36</v>
      </c>
      <c r="E51" s="8">
        <f>SUM(E43:E50)</f>
        <v>3.4567538871717431</v>
      </c>
      <c r="F51" s="11"/>
      <c r="G51" s="11"/>
    </row>
    <row r="52" spans="1:8" ht="15.75" x14ac:dyDescent="0.2">
      <c r="A52" s="59" t="s">
        <v>38</v>
      </c>
      <c r="B52" s="60"/>
      <c r="C52" s="21">
        <f>C51+C39+C28+C41</f>
        <v>288992.48757999996</v>
      </c>
      <c r="D52" s="21">
        <f>D51+D39+D28+D41</f>
        <v>3467909.85096</v>
      </c>
      <c r="E52" s="21">
        <f>E51+E39+E28+E41</f>
        <v>22.728648088463142</v>
      </c>
      <c r="F52" s="11"/>
      <c r="G52" s="11"/>
      <c r="H52" s="1"/>
    </row>
    <row r="53" spans="1:8" x14ac:dyDescent="0.2">
      <c r="A53" s="61" t="s">
        <v>39</v>
      </c>
      <c r="B53" s="62"/>
      <c r="C53" s="63">
        <f>C15-C52-C16</f>
        <v>-607.10857999994187</v>
      </c>
      <c r="D53" s="63">
        <f>D15-D52-D16</f>
        <v>-7285.3029600000009</v>
      </c>
      <c r="E53" s="35">
        <f>E15-E52-E16</f>
        <v>-4.7747806117232394E-2</v>
      </c>
      <c r="F53" s="11"/>
      <c r="G53" s="11"/>
    </row>
    <row r="54" spans="1:8" ht="38.25" x14ac:dyDescent="0.2">
      <c r="A54" s="64" t="s">
        <v>55</v>
      </c>
      <c r="B54" s="62"/>
      <c r="C54" s="63"/>
      <c r="D54" s="63"/>
      <c r="E54" s="35"/>
      <c r="F54" s="11"/>
      <c r="G54" s="1"/>
    </row>
    <row r="56" spans="1:8" ht="14.25" customHeight="1" x14ac:dyDescent="0.2">
      <c r="A56" s="57" t="s">
        <v>45</v>
      </c>
      <c r="B56" s="30"/>
      <c r="C56" s="30"/>
      <c r="D56" s="30"/>
      <c r="E56" s="30"/>
    </row>
    <row r="57" spans="1:8" x14ac:dyDescent="0.2">
      <c r="A57" s="72" t="s">
        <v>58</v>
      </c>
      <c r="B57" s="73">
        <v>9.0299999999999994</v>
      </c>
      <c r="C57" s="74">
        <f>B57*$B18</f>
        <v>114815.54699999999</v>
      </c>
      <c r="D57" s="74">
        <f>C57*12</f>
        <v>1377786.5639999998</v>
      </c>
      <c r="E57" s="75">
        <v>9.0299999999999994</v>
      </c>
    </row>
    <row r="58" spans="1:8" s="68" customFormat="1" x14ac:dyDescent="0.2">
      <c r="A58" s="58" t="s">
        <v>46</v>
      </c>
      <c r="B58" s="69"/>
      <c r="C58" s="70">
        <f>D58/12</f>
        <v>34443.083333333336</v>
      </c>
      <c r="D58" s="70">
        <v>413317</v>
      </c>
      <c r="E58" s="71">
        <f>IF(C58=0,D58/12/$B$18,C58/$B$18)</f>
        <v>2.7088756760441166</v>
      </c>
      <c r="F58" s="67"/>
      <c r="G58" s="67"/>
    </row>
    <row r="59" spans="1:8" ht="13.5" thickBot="1" x14ac:dyDescent="0.25">
      <c r="A59" s="61" t="s">
        <v>47</v>
      </c>
      <c r="B59" s="30"/>
      <c r="C59" s="65">
        <f>C57-C58</f>
        <v>80372.463666666648</v>
      </c>
      <c r="D59" s="65">
        <f t="shared" ref="D59:E59" si="8">D57-D58</f>
        <v>964469.56399999978</v>
      </c>
      <c r="E59" s="66">
        <f t="shared" si="8"/>
        <v>6.3211243239558828</v>
      </c>
    </row>
  </sheetData>
  <mergeCells count="2">
    <mergeCell ref="A1:E1"/>
    <mergeCell ref="A3:E3"/>
  </mergeCells>
  <pageMargins left="0.78749999999999998" right="0.39374999999999999" top="0.39374999999999999" bottom="0.39374999999999999" header="0.51180555555555496" footer="0.51180555555555496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>
      <selection activeCell="D32" sqref="D32"/>
    </sheetView>
  </sheetViews>
  <sheetFormatPr defaultRowHeight="12.75" x14ac:dyDescent="0.2"/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Швецова Ольга Владимировна</dc:creator>
  <dc:description/>
  <cp:lastModifiedBy>Vladimir</cp:lastModifiedBy>
  <cp:revision>1</cp:revision>
  <cp:lastPrinted>2020-03-20T16:45:41Z</cp:lastPrinted>
  <dcterms:created xsi:type="dcterms:W3CDTF">2020-03-13T08:40:55Z</dcterms:created>
  <dcterms:modified xsi:type="dcterms:W3CDTF">2021-04-27T16:13:01Z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